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120" yWindow="-120" windowWidth="29040" windowHeight="15840" activeTab="1"/>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X92" i="63" l="1"/>
  <c r="W92" i="63"/>
  <c r="I93" i="63"/>
  <c r="H93" i="63"/>
  <c r="G93" i="63"/>
  <c r="N93" i="63" s="1"/>
  <c r="O93" i="63" s="1"/>
  <c r="I92" i="63"/>
  <c r="H92" i="63"/>
  <c r="G92" i="63"/>
  <c r="N92" i="63" s="1"/>
  <c r="O92" i="63" s="1"/>
  <c r="I75" i="63"/>
  <c r="I91" i="63"/>
  <c r="H91" i="63"/>
  <c r="G91" i="63"/>
  <c r="N91" i="63" s="1"/>
  <c r="O91" i="63" s="1"/>
  <c r="I90" i="63"/>
  <c r="H90" i="63"/>
  <c r="G90" i="63"/>
  <c r="N90" i="63" s="1"/>
  <c r="O90" i="63" s="1"/>
  <c r="I89" i="63"/>
  <c r="H89" i="63"/>
  <c r="G89" i="63"/>
  <c r="N89" i="63" s="1"/>
  <c r="O89" i="63" s="1"/>
  <c r="I88" i="63"/>
  <c r="H88" i="63"/>
  <c r="G88" i="63"/>
  <c r="N88" i="63" s="1"/>
  <c r="O88" i="63" s="1"/>
  <c r="I74" i="63"/>
  <c r="I73" i="63"/>
  <c r="I72" i="63"/>
  <c r="I71" i="63"/>
  <c r="X91" i="63"/>
  <c r="X90" i="63"/>
  <c r="W91" i="63"/>
  <c r="I96" i="63"/>
  <c r="G96" i="63"/>
  <c r="H96" i="63"/>
  <c r="B161" i="18"/>
  <c r="B168" i="18"/>
  <c r="B167" i="18"/>
  <c r="B166" i="18"/>
  <c r="B165" i="18"/>
  <c r="B164" i="18"/>
  <c r="B163" i="18"/>
  <c r="B162" i="18"/>
  <c r="S55" i="63"/>
  <c r="J137" i="63"/>
  <c r="K137" i="63" s="1"/>
  <c r="L137" i="63" s="1"/>
  <c r="J136" i="63"/>
  <c r="K136" i="63" s="1"/>
  <c r="L136" i="63" s="1"/>
  <c r="J135" i="63"/>
  <c r="K135" i="63" s="1"/>
  <c r="L135" i="63" s="1"/>
  <c r="J134" i="63"/>
  <c r="K134" i="63" s="1"/>
  <c r="L134" i="63" s="1"/>
  <c r="J133" i="63"/>
  <c r="K133" i="63" s="1"/>
  <c r="L133" i="63" s="1"/>
  <c r="M133" i="63" s="1"/>
  <c r="N133" i="63" s="1"/>
  <c r="O133" i="63" s="1"/>
  <c r="J132" i="63"/>
  <c r="K132" i="63" s="1"/>
  <c r="L132" i="63" s="1"/>
  <c r="M132" i="63" s="1"/>
  <c r="N132" i="63" s="1"/>
  <c r="O132" i="63" s="1"/>
  <c r="J131" i="63"/>
  <c r="K131" i="63" s="1"/>
  <c r="L131" i="63" s="1"/>
  <c r="M131" i="63" s="1"/>
  <c r="N131" i="63" s="1"/>
  <c r="O131" i="63" s="1"/>
  <c r="J130" i="63"/>
  <c r="K130" i="63" s="1"/>
  <c r="L130" i="63" s="1"/>
  <c r="M130" i="63" s="1"/>
  <c r="N130" i="63" s="1"/>
  <c r="O130" i="63" s="1"/>
  <c r="J129" i="63"/>
  <c r="K129" i="63" s="1"/>
  <c r="L129" i="63" s="1"/>
  <c r="M129" i="63" s="1"/>
  <c r="N129" i="63" s="1"/>
  <c r="O129" i="63" s="1"/>
  <c r="J128" i="63"/>
  <c r="K128" i="63" s="1"/>
  <c r="L128" i="63" s="1"/>
  <c r="M128" i="63" s="1"/>
  <c r="N128" i="63" s="1"/>
  <c r="J127" i="63"/>
  <c r="K127" i="63" s="1"/>
  <c r="L127" i="63" s="1"/>
  <c r="M127" i="63" s="1"/>
  <c r="N127" i="63" s="1"/>
  <c r="O127" i="63" s="1"/>
  <c r="J126" i="63"/>
  <c r="K126" i="63" s="1"/>
  <c r="L126" i="63" s="1"/>
  <c r="J125" i="63"/>
  <c r="K125" i="63" s="1"/>
  <c r="L125" i="63" s="1"/>
  <c r="M125" i="63" s="1"/>
  <c r="N125" i="63" s="1"/>
  <c r="J93" i="63" l="1"/>
  <c r="K93" i="63" s="1"/>
  <c r="J92" i="63"/>
  <c r="K92" i="63" s="1"/>
  <c r="J91" i="63"/>
  <c r="K91" i="63" s="1"/>
  <c r="J89" i="63"/>
  <c r="K89" i="63" s="1"/>
  <c r="J90" i="63"/>
  <c r="K90" i="63" s="1"/>
  <c r="J88" i="63"/>
  <c r="K88" i="63" s="1"/>
  <c r="P130" i="63"/>
  <c r="O128" i="63"/>
  <c r="P128" i="63" s="1"/>
  <c r="O125" i="63"/>
  <c r="Q125" i="63" s="1"/>
  <c r="P133" i="63"/>
  <c r="P132" i="63"/>
  <c r="P131" i="63"/>
  <c r="Q129" i="63"/>
  <c r="P127" i="63"/>
  <c r="J96" i="63"/>
  <c r="K96" i="63" s="1"/>
  <c r="Q131" i="63"/>
  <c r="Q127" i="63"/>
  <c r="Q132" i="63"/>
  <c r="Q130" i="63"/>
  <c r="Q133" i="63"/>
  <c r="M136" i="63"/>
  <c r="N136" i="63" s="1"/>
  <c r="O136" i="63" s="1"/>
  <c r="M135" i="63"/>
  <c r="N135" i="63" s="1"/>
  <c r="O135" i="63" s="1"/>
  <c r="M137" i="63"/>
  <c r="N137" i="63" s="1"/>
  <c r="O137" i="63" s="1"/>
  <c r="M134" i="63"/>
  <c r="N134" i="63" s="1"/>
  <c r="O134" i="63" s="1"/>
  <c r="M126" i="63"/>
  <c r="N126" i="63" s="1"/>
  <c r="O126" i="63" s="1"/>
  <c r="P129" i="63"/>
  <c r="I142" i="63"/>
  <c r="L142" i="63" s="1"/>
  <c r="Q128" i="63" l="1"/>
  <c r="P125" i="63"/>
  <c r="P134" i="63"/>
  <c r="Q134" i="63"/>
  <c r="P135" i="63"/>
  <c r="Q135" i="63"/>
  <c r="P126" i="63"/>
  <c r="Q126" i="63"/>
  <c r="J142" i="63"/>
  <c r="K142" i="63" s="1"/>
  <c r="E30" i="80"/>
  <c r="I141" i="63"/>
  <c r="J141" i="63" s="1"/>
  <c r="K141" i="63" s="1"/>
  <c r="P136" i="63" l="1"/>
  <c r="Q136" i="63"/>
  <c r="P137" i="63"/>
  <c r="Q137" i="63"/>
  <c r="L141" i="63"/>
  <c r="W90" i="63"/>
  <c r="B27" i="18"/>
  <c r="B28" i="18"/>
  <c r="I140" i="63"/>
  <c r="G83" i="63"/>
  <c r="I139" i="63"/>
  <c r="L139" i="63" s="1"/>
  <c r="R499" i="18"/>
  <c r="J139" i="63" l="1"/>
  <c r="K139" i="63" s="1"/>
  <c r="J140" i="63"/>
  <c r="K140" i="63" s="1"/>
  <c r="L140" i="63"/>
  <c r="B169" i="18" l="1"/>
  <c r="C169" i="18" s="1"/>
  <c r="B160" i="18"/>
  <c r="B159" i="18"/>
  <c r="B158" i="18"/>
  <c r="B157" i="18"/>
  <c r="B156" i="18"/>
  <c r="B155" i="18"/>
  <c r="C10" i="36"/>
  <c r="F146" i="63"/>
  <c r="F145" i="63"/>
  <c r="D138" i="63"/>
  <c r="C138" i="63"/>
  <c r="P57" i="63"/>
  <c r="J138" i="63" l="1"/>
  <c r="K138" i="63" s="1"/>
  <c r="L138" i="63" s="1"/>
  <c r="M138" i="63" s="1"/>
  <c r="N138" i="63" s="1"/>
  <c r="O138" i="63" s="1"/>
  <c r="P138" i="63" s="1"/>
  <c r="I70" i="63"/>
  <c r="I83" i="63"/>
  <c r="H83" i="63"/>
  <c r="I69" i="63"/>
  <c r="I87" i="63"/>
  <c r="H87" i="63"/>
  <c r="G87" i="63"/>
  <c r="N87" i="63" s="1"/>
  <c r="O87" i="63" s="1"/>
  <c r="I86" i="63"/>
  <c r="H86" i="63"/>
  <c r="G86" i="63"/>
  <c r="I85" i="63"/>
  <c r="H85" i="63"/>
  <c r="G85" i="63"/>
  <c r="I84" i="63"/>
  <c r="H84" i="63"/>
  <c r="G84" i="63"/>
  <c r="I82" i="63"/>
  <c r="H82" i="63"/>
  <c r="G82" i="63"/>
  <c r="I81" i="63"/>
  <c r="H81" i="63"/>
  <c r="G81" i="63"/>
  <c r="I80" i="63"/>
  <c r="H80" i="63"/>
  <c r="G80" i="63"/>
  <c r="I79" i="63"/>
  <c r="H79" i="63"/>
  <c r="G79" i="63"/>
  <c r="I68" i="63"/>
  <c r="Q138" i="63" l="1"/>
  <c r="J83" i="63"/>
  <c r="K83" i="63" s="1"/>
  <c r="J81" i="63"/>
  <c r="K81" i="63" s="1"/>
  <c r="J86" i="63"/>
  <c r="K86" i="63" s="1"/>
  <c r="J85" i="63"/>
  <c r="K85" i="63" s="1"/>
  <c r="J84" i="63"/>
  <c r="K84" i="63" s="1"/>
  <c r="J87" i="63"/>
  <c r="K87" i="63" s="1"/>
  <c r="J82" i="63"/>
  <c r="K82" i="63" s="1"/>
  <c r="J80" i="63"/>
  <c r="K80" i="63" s="1"/>
  <c r="J79" i="63"/>
  <c r="K79" i="63" s="1"/>
  <c r="H11" i="18" l="1"/>
  <c r="I67" i="63" l="1"/>
  <c r="H67" i="63"/>
  <c r="J67" i="63" l="1"/>
  <c r="K67" i="63" s="1"/>
  <c r="I66" i="63"/>
  <c r="I78" i="63"/>
  <c r="G78" i="63"/>
  <c r="H78" i="63"/>
  <c r="J78" i="63" l="1"/>
  <c r="K78" i="63" s="1"/>
  <c r="P2" i="63" l="1"/>
  <c r="P3" i="63" s="1"/>
  <c r="C75" i="63" l="1"/>
  <c r="D75" i="63"/>
  <c r="C74" i="63"/>
  <c r="C73" i="63"/>
  <c r="C72" i="63"/>
  <c r="D74" i="63"/>
  <c r="D72" i="63"/>
  <c r="D73" i="63"/>
  <c r="C71" i="63"/>
  <c r="D71" i="63"/>
  <c r="D70" i="63"/>
  <c r="C124" i="63"/>
  <c r="D124" i="63"/>
  <c r="D112" i="63"/>
  <c r="C112" i="63"/>
  <c r="J112" i="63" s="1"/>
  <c r="K112" i="63" s="1"/>
  <c r="L112" i="63" s="1"/>
  <c r="M112" i="63" s="1"/>
  <c r="N112" i="63" s="1"/>
  <c r="O112" i="63" s="1"/>
  <c r="D110" i="63"/>
  <c r="C110" i="63"/>
  <c r="D69" i="63"/>
  <c r="D123" i="63"/>
  <c r="C123" i="63"/>
  <c r="J123" i="63" s="1"/>
  <c r="K123" i="63" s="1"/>
  <c r="L123" i="63" s="1"/>
  <c r="M123" i="63" s="1"/>
  <c r="N123" i="63" s="1"/>
  <c r="O123" i="63" s="1"/>
  <c r="D111" i="63"/>
  <c r="C117" i="63"/>
  <c r="D117" i="63"/>
  <c r="C111" i="63"/>
  <c r="J111" i="63" s="1"/>
  <c r="K111" i="63" s="1"/>
  <c r="L111" i="63" s="1"/>
  <c r="M111" i="63" s="1"/>
  <c r="N111" i="63" s="1"/>
  <c r="O111" i="63" s="1"/>
  <c r="D109" i="63"/>
  <c r="C109" i="63"/>
  <c r="J109" i="63" s="1"/>
  <c r="K109" i="63" s="1"/>
  <c r="L109" i="63" s="1"/>
  <c r="C122" i="63"/>
  <c r="D122" i="63"/>
  <c r="D108" i="63"/>
  <c r="C108" i="63"/>
  <c r="D121" i="63"/>
  <c r="D107" i="63"/>
  <c r="C107" i="63"/>
  <c r="D68" i="63"/>
  <c r="C121" i="63"/>
  <c r="C106" i="63"/>
  <c r="D106" i="63"/>
  <c r="D105" i="63"/>
  <c r="C105" i="63"/>
  <c r="J105" i="63" s="1"/>
  <c r="K105" i="63" s="1"/>
  <c r="L105" i="63" s="1"/>
  <c r="C113" i="63"/>
  <c r="D114" i="63"/>
  <c r="C114" i="63"/>
  <c r="J114" i="63" s="1"/>
  <c r="K114" i="63" s="1"/>
  <c r="L114" i="63" s="1"/>
  <c r="M114" i="63" s="1"/>
  <c r="N114" i="63" s="1"/>
  <c r="O114" i="63" s="1"/>
  <c r="C104" i="63"/>
  <c r="D104" i="63"/>
  <c r="P60" i="63"/>
  <c r="Q60" i="63" s="1"/>
  <c r="C69" i="63"/>
  <c r="D103" i="63"/>
  <c r="D120" i="63"/>
  <c r="C103" i="63"/>
  <c r="C120" i="63"/>
  <c r="C70" i="63"/>
  <c r="C68" i="63"/>
  <c r="D116" i="63"/>
  <c r="C13" i="63"/>
  <c r="D67" i="63"/>
  <c r="G67" i="63" s="1"/>
  <c r="D66" i="63"/>
  <c r="G66" i="63" s="1"/>
  <c r="F161" i="63"/>
  <c r="F157" i="63"/>
  <c r="D208" i="63"/>
  <c r="D204" i="63"/>
  <c r="D200" i="63"/>
  <c r="D196" i="63"/>
  <c r="D192" i="63"/>
  <c r="D188" i="63"/>
  <c r="D184" i="63"/>
  <c r="D150" i="63"/>
  <c r="D144" i="63"/>
  <c r="D118" i="63"/>
  <c r="D102" i="63"/>
  <c r="D101" i="63"/>
  <c r="D64" i="63"/>
  <c r="D60" i="63"/>
  <c r="D56" i="63"/>
  <c r="D52" i="63"/>
  <c r="D48" i="63"/>
  <c r="D44" i="63"/>
  <c r="D40" i="63"/>
  <c r="D36" i="63"/>
  <c r="D32" i="63"/>
  <c r="D28" i="63"/>
  <c r="D24" i="63"/>
  <c r="D20" i="63"/>
  <c r="D16" i="63"/>
  <c r="D12" i="63"/>
  <c r="D8" i="63"/>
  <c r="D4" i="63"/>
  <c r="C208" i="63"/>
  <c r="C204" i="63"/>
  <c r="C200" i="63"/>
  <c r="C196" i="63"/>
  <c r="C192" i="63"/>
  <c r="C188" i="63"/>
  <c r="C184" i="63"/>
  <c r="C150" i="63"/>
  <c r="C144" i="63"/>
  <c r="H144" i="63" s="1"/>
  <c r="C118" i="63"/>
  <c r="C102" i="63"/>
  <c r="C101" i="63"/>
  <c r="C64" i="63"/>
  <c r="C60" i="63"/>
  <c r="C56" i="63"/>
  <c r="C52" i="63"/>
  <c r="C48" i="63"/>
  <c r="C44" i="63"/>
  <c r="C40" i="63"/>
  <c r="C36" i="63"/>
  <c r="C32" i="63"/>
  <c r="C28" i="63"/>
  <c r="C24" i="63"/>
  <c r="C20" i="63"/>
  <c r="C16" i="63"/>
  <c r="C11" i="63"/>
  <c r="C7" i="63"/>
  <c r="C3" i="63"/>
  <c r="F160" i="63"/>
  <c r="F156" i="63"/>
  <c r="D207" i="63"/>
  <c r="D203" i="63"/>
  <c r="D199" i="63"/>
  <c r="D195" i="63"/>
  <c r="D191" i="63"/>
  <c r="D187" i="63"/>
  <c r="D183" i="63"/>
  <c r="D149" i="63"/>
  <c r="D143" i="63"/>
  <c r="D100" i="63"/>
  <c r="D63" i="63"/>
  <c r="D59" i="63"/>
  <c r="D55" i="63"/>
  <c r="D51" i="63"/>
  <c r="D47" i="63"/>
  <c r="D43" i="63"/>
  <c r="D39" i="63"/>
  <c r="F159" i="63"/>
  <c r="D206" i="63"/>
  <c r="D198" i="63"/>
  <c r="D190" i="63"/>
  <c r="D182" i="63"/>
  <c r="D115" i="63"/>
  <c r="D99" i="63"/>
  <c r="D62" i="63"/>
  <c r="D54" i="63"/>
  <c r="D46" i="63"/>
  <c r="D38" i="63"/>
  <c r="D33" i="63"/>
  <c r="D27" i="63"/>
  <c r="D22" i="63"/>
  <c r="D17" i="63"/>
  <c r="D11" i="63"/>
  <c r="D6" i="63"/>
  <c r="D1" i="63"/>
  <c r="C203" i="63"/>
  <c r="C198" i="63"/>
  <c r="C193" i="63"/>
  <c r="C187" i="63"/>
  <c r="C182" i="63"/>
  <c r="C145" i="63"/>
  <c r="C115" i="63"/>
  <c r="C62" i="63"/>
  <c r="C57" i="63"/>
  <c r="C51" i="63"/>
  <c r="C46" i="63"/>
  <c r="C41" i="63"/>
  <c r="C35" i="63"/>
  <c r="C30" i="63"/>
  <c r="C25" i="63"/>
  <c r="C19" i="63"/>
  <c r="C14" i="63"/>
  <c r="C8" i="63"/>
  <c r="C2" i="63"/>
  <c r="F158" i="63"/>
  <c r="D205" i="63"/>
  <c r="D197" i="63"/>
  <c r="D189" i="63"/>
  <c r="D179" i="63"/>
  <c r="D113" i="63"/>
  <c r="D98" i="63"/>
  <c r="D61" i="63"/>
  <c r="D53" i="63"/>
  <c r="D45" i="63"/>
  <c r="D37" i="63"/>
  <c r="D31" i="63"/>
  <c r="D26" i="63"/>
  <c r="D21" i="63"/>
  <c r="D15" i="63"/>
  <c r="D10" i="63"/>
  <c r="D5" i="63"/>
  <c r="C207" i="63"/>
  <c r="C202" i="63"/>
  <c r="C197" i="63"/>
  <c r="C191" i="63"/>
  <c r="C186" i="63"/>
  <c r="C179" i="63"/>
  <c r="C143" i="63"/>
  <c r="C100" i="63"/>
  <c r="C61" i="63"/>
  <c r="C55" i="63"/>
  <c r="C50" i="63"/>
  <c r="C45" i="63"/>
  <c r="C39" i="63"/>
  <c r="C34" i="63"/>
  <c r="C29" i="63"/>
  <c r="C23" i="63"/>
  <c r="C18" i="63"/>
  <c r="C12" i="63"/>
  <c r="C6" i="63"/>
  <c r="F155" i="63"/>
  <c r="D202" i="63"/>
  <c r="D194" i="63"/>
  <c r="D186" i="63"/>
  <c r="D146" i="63"/>
  <c r="D58" i="63"/>
  <c r="D50" i="63"/>
  <c r="D42" i="63"/>
  <c r="D35" i="63"/>
  <c r="D30" i="63"/>
  <c r="D25" i="63"/>
  <c r="D19" i="63"/>
  <c r="D14" i="63"/>
  <c r="D9" i="63"/>
  <c r="D3" i="63"/>
  <c r="C206" i="63"/>
  <c r="C201" i="63"/>
  <c r="C195" i="63"/>
  <c r="C190" i="63"/>
  <c r="C185" i="63"/>
  <c r="C149" i="63"/>
  <c r="C119" i="63"/>
  <c r="C99" i="63"/>
  <c r="C59" i="63"/>
  <c r="C54" i="63"/>
  <c r="C49" i="63"/>
  <c r="C43" i="63"/>
  <c r="C38" i="63"/>
  <c r="C33" i="63"/>
  <c r="C27" i="63"/>
  <c r="C22" i="63"/>
  <c r="C17" i="63"/>
  <c r="C10" i="63"/>
  <c r="C5" i="63"/>
  <c r="C1" i="63"/>
  <c r="D201" i="63"/>
  <c r="D193" i="63"/>
  <c r="D185" i="63"/>
  <c r="D145" i="63"/>
  <c r="D119" i="63"/>
  <c r="D57" i="63"/>
  <c r="D49" i="63"/>
  <c r="D41" i="63"/>
  <c r="D34" i="63"/>
  <c r="D29" i="63"/>
  <c r="D23" i="63"/>
  <c r="D18" i="63"/>
  <c r="D13" i="63"/>
  <c r="D7" i="63"/>
  <c r="D2" i="63"/>
  <c r="C205" i="63"/>
  <c r="C199" i="63"/>
  <c r="C194" i="63"/>
  <c r="C189" i="63"/>
  <c r="C183" i="63"/>
  <c r="C146" i="63"/>
  <c r="C116" i="63"/>
  <c r="C98" i="63"/>
  <c r="J98" i="63" s="1"/>
  <c r="K98" i="63" s="1"/>
  <c r="L98" i="63" s="1"/>
  <c r="M98" i="63" s="1"/>
  <c r="N98" i="63" s="1"/>
  <c r="O98" i="63" s="1"/>
  <c r="C63" i="63"/>
  <c r="C58" i="63"/>
  <c r="C53" i="63"/>
  <c r="C47" i="63"/>
  <c r="C42" i="63"/>
  <c r="C37" i="63"/>
  <c r="C31" i="63"/>
  <c r="C26" i="63"/>
  <c r="C21" i="63"/>
  <c r="C15" i="63"/>
  <c r="C9" i="63"/>
  <c r="C4" i="63"/>
  <c r="R498" i="18"/>
  <c r="R497" i="18"/>
  <c r="J116" i="63" l="1"/>
  <c r="K116" i="63" s="1"/>
  <c r="L116" i="63" s="1"/>
  <c r="M116" i="63" s="1"/>
  <c r="N116" i="63" s="1"/>
  <c r="O116" i="63" s="1"/>
  <c r="Q116" i="63" s="1"/>
  <c r="G75" i="63"/>
  <c r="N75" i="63" s="1"/>
  <c r="O75" i="63" s="1"/>
  <c r="H75" i="63"/>
  <c r="J75" i="63" s="1"/>
  <c r="K75" i="63" s="1"/>
  <c r="J108" i="63"/>
  <c r="K108" i="63" s="1"/>
  <c r="L108" i="63" s="1"/>
  <c r="M108" i="63" s="1"/>
  <c r="N108" i="63" s="1"/>
  <c r="O108" i="63" s="1"/>
  <c r="Q108" i="63" s="1"/>
  <c r="J100" i="63"/>
  <c r="K100" i="63" s="1"/>
  <c r="L100" i="63" s="1"/>
  <c r="M100" i="63" s="1"/>
  <c r="N100" i="63" s="1"/>
  <c r="O100" i="63" s="1"/>
  <c r="P100" i="63" s="1"/>
  <c r="H72" i="63"/>
  <c r="J72" i="63" s="1"/>
  <c r="K72" i="63" s="1"/>
  <c r="G72" i="63"/>
  <c r="N72" i="63" s="1"/>
  <c r="O72" i="63" s="1"/>
  <c r="H73" i="63"/>
  <c r="J73" i="63" s="1"/>
  <c r="K73" i="63" s="1"/>
  <c r="G73" i="63"/>
  <c r="N73" i="63" s="1"/>
  <c r="O73" i="63" s="1"/>
  <c r="J113" i="63"/>
  <c r="K113" i="63" s="1"/>
  <c r="L113" i="63" s="1"/>
  <c r="M113" i="63" s="1"/>
  <c r="N113" i="63" s="1"/>
  <c r="O113" i="63" s="1"/>
  <c r="H74" i="63"/>
  <c r="J74" i="63" s="1"/>
  <c r="K74" i="63" s="1"/>
  <c r="G74" i="63"/>
  <c r="N74" i="63" s="1"/>
  <c r="O74" i="63" s="1"/>
  <c r="J118" i="63"/>
  <c r="K118" i="63" s="1"/>
  <c r="L118" i="63" s="1"/>
  <c r="M118" i="63" s="1"/>
  <c r="N118" i="63" s="1"/>
  <c r="O118" i="63" s="1"/>
  <c r="J120" i="63"/>
  <c r="K120" i="63" s="1"/>
  <c r="L120" i="63" s="1"/>
  <c r="M120" i="63" s="1"/>
  <c r="N120" i="63" s="1"/>
  <c r="O120" i="63" s="1"/>
  <c r="Q120" i="63" s="1"/>
  <c r="J103" i="63"/>
  <c r="K103" i="63" s="1"/>
  <c r="L103" i="63" s="1"/>
  <c r="M103" i="63" s="1"/>
  <c r="N103" i="63" s="1"/>
  <c r="O103" i="63" s="1"/>
  <c r="P103" i="63" s="1"/>
  <c r="J107" i="63"/>
  <c r="K107" i="63" s="1"/>
  <c r="L107" i="63" s="1"/>
  <c r="M107" i="63" s="1"/>
  <c r="N107" i="63" s="1"/>
  <c r="O107" i="63" s="1"/>
  <c r="J110" i="63"/>
  <c r="K110" i="63" s="1"/>
  <c r="L110" i="63" s="1"/>
  <c r="M110" i="63" s="1"/>
  <c r="N110" i="63" s="1"/>
  <c r="O110" i="63" s="1"/>
  <c r="P110" i="63" s="1"/>
  <c r="H71" i="63"/>
  <c r="J71" i="63" s="1"/>
  <c r="K71" i="63" s="1"/>
  <c r="G71" i="63"/>
  <c r="J106" i="63"/>
  <c r="K106" i="63" s="1"/>
  <c r="L106" i="63" s="1"/>
  <c r="M106" i="63" s="1"/>
  <c r="N106" i="63" s="1"/>
  <c r="P112" i="63"/>
  <c r="Q112" i="63"/>
  <c r="P123" i="63"/>
  <c r="Q123" i="63"/>
  <c r="P116" i="63"/>
  <c r="P111" i="63"/>
  <c r="Q111" i="63"/>
  <c r="P98" i="63"/>
  <c r="Q98" i="63"/>
  <c r="J99" i="63"/>
  <c r="K99" i="63" s="1"/>
  <c r="L99" i="63" s="1"/>
  <c r="M99" i="63" s="1"/>
  <c r="N99" i="63" s="1"/>
  <c r="O99" i="63" s="1"/>
  <c r="J117" i="63"/>
  <c r="K117" i="63" s="1"/>
  <c r="L117" i="63" s="1"/>
  <c r="M105" i="63"/>
  <c r="N105" i="63" s="1"/>
  <c r="O105" i="63" s="1"/>
  <c r="J119" i="63"/>
  <c r="K119" i="63" s="1"/>
  <c r="L119" i="63" s="1"/>
  <c r="M119" i="63" s="1"/>
  <c r="N119" i="63" s="1"/>
  <c r="O119" i="63" s="1"/>
  <c r="M109" i="63"/>
  <c r="N109" i="63" s="1"/>
  <c r="O109" i="63" s="1"/>
  <c r="J101" i="63"/>
  <c r="K101" i="63" s="1"/>
  <c r="L101" i="63" s="1"/>
  <c r="J124" i="63"/>
  <c r="K124" i="63" s="1"/>
  <c r="L124" i="63" s="1"/>
  <c r="J115" i="63"/>
  <c r="K115" i="63" s="1"/>
  <c r="L115" i="63" s="1"/>
  <c r="M115" i="63" s="1"/>
  <c r="N115" i="63" s="1"/>
  <c r="O115" i="63" s="1"/>
  <c r="J102" i="63"/>
  <c r="K102" i="63" s="1"/>
  <c r="L102" i="63" s="1"/>
  <c r="J104" i="63"/>
  <c r="K104" i="63" s="1"/>
  <c r="L104" i="63" s="1"/>
  <c r="M104" i="63" s="1"/>
  <c r="N104" i="63" s="1"/>
  <c r="O104" i="63" s="1"/>
  <c r="J121" i="63"/>
  <c r="K121" i="63" s="1"/>
  <c r="L121" i="63" s="1"/>
  <c r="J122" i="63"/>
  <c r="K122" i="63" s="1"/>
  <c r="L122" i="63" s="1"/>
  <c r="G68" i="63"/>
  <c r="H70" i="63"/>
  <c r="J70" i="63" s="1"/>
  <c r="K70" i="63" s="1"/>
  <c r="G70" i="63"/>
  <c r="H69" i="63"/>
  <c r="J69" i="63" s="1"/>
  <c r="K69" i="63" s="1"/>
  <c r="G69" i="63"/>
  <c r="H68" i="63"/>
  <c r="J68" i="63" s="1"/>
  <c r="K68" i="63" s="1"/>
  <c r="H66" i="63"/>
  <c r="J66" i="63" s="1"/>
  <c r="K66" i="63" s="1"/>
  <c r="R496" i="18"/>
  <c r="P17" i="63"/>
  <c r="P18" i="63"/>
  <c r="P108" i="63" l="1"/>
  <c r="Q100" i="63"/>
  <c r="Q110" i="63"/>
  <c r="Q103" i="63"/>
  <c r="P120" i="63"/>
  <c r="O106" i="63"/>
  <c r="P106" i="63" s="1"/>
  <c r="P114" i="63"/>
  <c r="Q114" i="63"/>
  <c r="P113" i="63"/>
  <c r="Q113" i="63"/>
  <c r="P104" i="63"/>
  <c r="Q104" i="63"/>
  <c r="P119" i="63"/>
  <c r="Q119" i="63"/>
  <c r="P105" i="63"/>
  <c r="Q105" i="63"/>
  <c r="P118" i="63"/>
  <c r="Q118" i="63"/>
  <c r="P115" i="63"/>
  <c r="Q115" i="63"/>
  <c r="P109" i="63"/>
  <c r="Q109" i="63"/>
  <c r="P107" i="63"/>
  <c r="Q107" i="63"/>
  <c r="P99" i="63"/>
  <c r="Q99" i="63"/>
  <c r="M122" i="63"/>
  <c r="N122" i="63" s="1"/>
  <c r="O122" i="63" s="1"/>
  <c r="M121" i="63"/>
  <c r="N121" i="63" s="1"/>
  <c r="O121" i="63" s="1"/>
  <c r="M124" i="63"/>
  <c r="N124" i="63" s="1"/>
  <c r="O124" i="63" s="1"/>
  <c r="M101" i="63"/>
  <c r="N101" i="63" s="1"/>
  <c r="O101" i="63" s="1"/>
  <c r="M102" i="63"/>
  <c r="N102" i="63" s="1"/>
  <c r="O102" i="63" s="1"/>
  <c r="M117" i="63"/>
  <c r="N117" i="63" s="1"/>
  <c r="O117" i="63" s="1"/>
  <c r="I77" i="63"/>
  <c r="H77" i="63"/>
  <c r="G77" i="63"/>
  <c r="D21" i="18"/>
  <c r="B21" i="18" s="1"/>
  <c r="T26" i="80"/>
  <c r="E29" i="80"/>
  <c r="E28" i="80"/>
  <c r="Q106" i="63" l="1"/>
  <c r="P124" i="63"/>
  <c r="Q124" i="63"/>
  <c r="P121" i="63"/>
  <c r="Q121" i="63"/>
  <c r="P122" i="63"/>
  <c r="Q122" i="63"/>
  <c r="P117" i="63"/>
  <c r="Q117" i="63"/>
  <c r="P102" i="63"/>
  <c r="Q102" i="63"/>
  <c r="P101" i="63"/>
  <c r="Q101" i="63"/>
  <c r="J77" i="63"/>
  <c r="K77" i="63" s="1"/>
  <c r="S26" i="80"/>
  <c r="D53" i="18"/>
  <c r="S19" i="80"/>
  <c r="S27" i="80" s="1"/>
  <c r="D54" i="18" l="1"/>
  <c r="B54" i="18" s="1"/>
  <c r="C160" i="18"/>
  <c r="B53" i="18"/>
  <c r="E20" i="80"/>
  <c r="F20" i="80" s="1"/>
  <c r="D51" i="18"/>
  <c r="C159" i="18" s="1"/>
  <c r="D46" i="18"/>
  <c r="H14" i="18" s="1"/>
  <c r="D15" i="18" l="1"/>
  <c r="C161" i="18"/>
  <c r="D14" i="18"/>
  <c r="B14" i="18" s="1"/>
  <c r="D6" i="18"/>
  <c r="B6" i="18" s="1"/>
  <c r="D23" i="18"/>
  <c r="B23" i="18" s="1"/>
  <c r="D36" i="18"/>
  <c r="B36" i="18" s="1"/>
  <c r="D37" i="18"/>
  <c r="B37" i="18" s="1"/>
  <c r="D24" i="18"/>
  <c r="D22" i="18"/>
  <c r="B22" i="18" s="1"/>
  <c r="D52" i="18"/>
  <c r="B52" i="18" s="1"/>
  <c r="H15" i="18"/>
  <c r="D47" i="18"/>
  <c r="D16" i="18"/>
  <c r="B16" i="18" s="1"/>
  <c r="D50" i="18"/>
  <c r="D49" i="18"/>
  <c r="D48" i="18"/>
  <c r="D13" i="18"/>
  <c r="B13" i="18" s="1"/>
  <c r="D35" i="18"/>
  <c r="B35" i="18" s="1"/>
  <c r="B46" i="18"/>
  <c r="D5" i="18"/>
  <c r="B5" i="18" s="1"/>
  <c r="B51" i="18"/>
  <c r="R495" i="18"/>
  <c r="B47" i="18" l="1"/>
  <c r="C162" i="18"/>
  <c r="B48" i="18"/>
  <c r="C164" i="18"/>
  <c r="B49" i="18"/>
  <c r="C166" i="18"/>
  <c r="B50" i="18"/>
  <c r="C168" i="18"/>
  <c r="B24" i="18"/>
  <c r="C165" i="18"/>
  <c r="B15" i="18"/>
  <c r="C163" i="18"/>
  <c r="R494" i="18"/>
  <c r="P507" i="18"/>
  <c r="L21" i="80"/>
  <c r="L22" i="80" s="1"/>
  <c r="L23" i="80" s="1"/>
  <c r="R493" i="18" l="1"/>
  <c r="E27" i="80"/>
  <c r="R492" i="18" l="1"/>
  <c r="E26" i="80"/>
  <c r="E25" i="80"/>
  <c r="E24" i="80"/>
  <c r="E23" i="80" l="1"/>
  <c r="E22" i="80"/>
  <c r="R491" i="18" l="1"/>
  <c r="E21" i="80"/>
  <c r="F21" i="80" s="1"/>
  <c r="E67" i="18"/>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U4" i="80" s="1"/>
  <c r="C5" i="80"/>
  <c r="E5" i="80" s="1"/>
  <c r="C6" i="80"/>
  <c r="S6" i="80" s="1"/>
  <c r="C7" i="80"/>
  <c r="G7" i="80" s="1"/>
  <c r="C8" i="80"/>
  <c r="C9" i="80"/>
  <c r="E9" i="80" s="1"/>
  <c r="C10" i="80"/>
  <c r="S10" i="80" s="1"/>
  <c r="C11" i="80"/>
  <c r="G11" i="80" s="1"/>
  <c r="C12" i="80"/>
  <c r="C2" i="80"/>
  <c r="U2" i="80" l="1"/>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59" i="18"/>
  <c r="E19" i="80" l="1"/>
  <c r="R489" i="18" l="1"/>
  <c r="B56" i="18" l="1"/>
  <c r="B57" i="18"/>
  <c r="B58" i="18"/>
  <c r="R488" i="18"/>
  <c r="I143" i="63" l="1"/>
  <c r="H37" i="18"/>
  <c r="I2" i="82"/>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E5" i="82"/>
  <c r="F5" i="82" s="1"/>
  <c r="L5" i="82"/>
  <c r="Q5" i="82"/>
  <c r="R5" i="82" s="1"/>
  <c r="Y5" i="82"/>
  <c r="Z5" i="82" s="1"/>
  <c r="R6" i="82"/>
  <c r="N6" i="82"/>
  <c r="J6" i="82"/>
  <c r="AE8" i="82"/>
  <c r="AF8" i="82" s="1"/>
  <c r="AA8" i="82"/>
  <c r="AB8" i="82" s="1"/>
  <c r="W8" i="82"/>
  <c r="X8" i="82" s="1"/>
  <c r="AC8" i="82"/>
  <c r="AD8" i="82" s="1"/>
  <c r="U4" i="82"/>
  <c r="V4" i="82" s="1"/>
  <c r="AC4" i="82"/>
  <c r="AD4" i="82" s="1"/>
  <c r="T5" i="82"/>
  <c r="P6" i="82"/>
  <c r="E8" i="82"/>
  <c r="F8" i="82" s="1"/>
  <c r="Y9" i="82"/>
  <c r="Z10" i="82"/>
  <c r="V10" i="82"/>
  <c r="R10" i="82"/>
  <c r="N10" i="82"/>
  <c r="J10" i="82"/>
  <c r="T10" i="82"/>
  <c r="E12" i="82"/>
  <c r="F12" i="82" s="1"/>
  <c r="AE12" i="82"/>
  <c r="AF12" i="82" s="1"/>
  <c r="R2" i="82"/>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Q24" i="63"/>
  <c r="Q23" i="63"/>
  <c r="R485" i="18" l="1"/>
  <c r="N78" i="18" l="1"/>
  <c r="F67" i="18"/>
  <c r="D67" i="18"/>
  <c r="R484" i="18"/>
  <c r="R483" i="18"/>
  <c r="R482" i="18"/>
  <c r="R481" i="18" l="1"/>
  <c r="N508" i="18" l="1"/>
  <c r="R480" i="18"/>
  <c r="R479" i="18" l="1"/>
  <c r="I150" i="63"/>
  <c r="R478" i="18" l="1"/>
  <c r="E70" i="18" l="1"/>
  <c r="F70" i="18"/>
  <c r="G52" i="10"/>
  <c r="G51" i="10"/>
  <c r="H319" i="18" l="1"/>
  <c r="R477" i="18"/>
  <c r="I64" i="63"/>
  <c r="G64" i="63"/>
  <c r="H64" i="63"/>
  <c r="J64" i="63" l="1"/>
  <c r="K64" i="63" s="1"/>
  <c r="R476" i="18"/>
  <c r="R475" i="18" l="1"/>
  <c r="R474" i="18" l="1"/>
  <c r="D70" i="18"/>
  <c r="Q61" i="63" l="1"/>
  <c r="F147" i="63" l="1"/>
  <c r="R473" i="18"/>
  <c r="R472" i="18" l="1"/>
  <c r="D55" i="18"/>
  <c r="C157" i="18" s="1"/>
  <c r="D12" i="18"/>
  <c r="C158" i="18" s="1"/>
  <c r="B12" i="18" l="1"/>
  <c r="D4" i="18"/>
  <c r="B4" i="18" s="1"/>
  <c r="D11" i="18"/>
  <c r="D30" i="18"/>
  <c r="D39" i="18"/>
  <c r="B39" i="18" s="1"/>
  <c r="I147" i="63"/>
  <c r="H147" i="63"/>
  <c r="G147" i="63"/>
  <c r="J147" i="63" l="1"/>
  <c r="K147" i="63" s="1"/>
  <c r="I149" i="63"/>
  <c r="H149" i="63"/>
  <c r="G149" i="63"/>
  <c r="J149" i="63" l="1"/>
  <c r="K149" i="63" s="1"/>
  <c r="H150" i="63" l="1"/>
  <c r="G150" i="63"/>
  <c r="J150" i="63" l="1"/>
  <c r="K150" i="63" s="1"/>
  <c r="R471" i="18" l="1"/>
  <c r="R470" i="18" l="1"/>
  <c r="G174" i="63" l="1"/>
  <c r="H174" i="63"/>
  <c r="I174" i="63"/>
  <c r="G175" i="63"/>
  <c r="H175" i="63"/>
  <c r="I175" i="63"/>
  <c r="H173" i="63"/>
  <c r="I173" i="63"/>
  <c r="G173" i="63"/>
  <c r="I172" i="63"/>
  <c r="G172" i="63"/>
  <c r="H172" i="63"/>
  <c r="J173" i="63" l="1"/>
  <c r="K173" i="63" s="1"/>
  <c r="J172" i="63"/>
  <c r="K172" i="63" s="1"/>
  <c r="J175" i="63"/>
  <c r="K175" i="63" s="1"/>
  <c r="J174" i="63"/>
  <c r="K174" i="63" s="1"/>
  <c r="R467" i="18"/>
  <c r="R461" i="18"/>
  <c r="K9" i="18"/>
  <c r="K10" i="18" s="1"/>
  <c r="H10" i="18"/>
  <c r="H9" i="18"/>
  <c r="R455" i="18"/>
  <c r="R454" i="18"/>
  <c r="R469" i="18" l="1"/>
  <c r="I63" i="63"/>
  <c r="G63" i="63"/>
  <c r="H63" i="63"/>
  <c r="I62" i="63"/>
  <c r="G62" i="63"/>
  <c r="H62" i="63"/>
  <c r="J63" i="63" l="1"/>
  <c r="K63" i="63" s="1"/>
  <c r="J62" i="63"/>
  <c r="K62" i="63" s="1"/>
  <c r="R468" i="18" l="1"/>
  <c r="I169" i="63"/>
  <c r="G169" i="63"/>
  <c r="H169" i="63"/>
  <c r="J169" i="63" l="1"/>
  <c r="K169" i="63" s="1"/>
  <c r="I171" i="63"/>
  <c r="G171" i="63" l="1"/>
  <c r="H171" i="63"/>
  <c r="J171" i="63" s="1"/>
  <c r="K171" i="63" s="1"/>
  <c r="I170" i="63"/>
  <c r="G170" i="63"/>
  <c r="H170" i="63"/>
  <c r="G166" i="63"/>
  <c r="H166" i="63"/>
  <c r="I166" i="63"/>
  <c r="I168" i="63"/>
  <c r="H168" i="63"/>
  <c r="G168" i="63"/>
  <c r="I165" i="63"/>
  <c r="J166" i="63" l="1"/>
  <c r="K166" i="63" s="1"/>
  <c r="J170" i="63"/>
  <c r="K170" i="63" s="1"/>
  <c r="J168" i="63"/>
  <c r="K168" i="63" s="1"/>
  <c r="G165" i="63" l="1"/>
  <c r="H165" i="63"/>
  <c r="J165" i="63" s="1"/>
  <c r="K165" i="63" s="1"/>
  <c r="I163" i="63"/>
  <c r="H163" i="63"/>
  <c r="G163" i="63"/>
  <c r="I160" i="63"/>
  <c r="H160" i="63"/>
  <c r="G160" i="63"/>
  <c r="I161" i="63"/>
  <c r="I164" i="63"/>
  <c r="I167" i="63"/>
  <c r="H161" i="63"/>
  <c r="H164" i="63"/>
  <c r="G161" i="63"/>
  <c r="G164" i="63"/>
  <c r="G167" i="63"/>
  <c r="H167" i="63"/>
  <c r="I162" i="63"/>
  <c r="I155" i="63"/>
  <c r="B55" i="18"/>
  <c r="I176" i="63"/>
  <c r="G176" i="63"/>
  <c r="I159" i="63"/>
  <c r="G159" i="63"/>
  <c r="H159" i="63"/>
  <c r="J160" i="63" l="1"/>
  <c r="K160" i="63" s="1"/>
  <c r="J161" i="63"/>
  <c r="K161" i="63" s="1"/>
  <c r="J163" i="63"/>
  <c r="K163" i="63" s="1"/>
  <c r="J167" i="63"/>
  <c r="K167" i="63" s="1"/>
  <c r="J164" i="63"/>
  <c r="K164" i="63" s="1"/>
  <c r="J159" i="63"/>
  <c r="K159" i="63" s="1"/>
  <c r="I158" i="63"/>
  <c r="I48" i="63"/>
  <c r="H48" i="63"/>
  <c r="G48" i="63"/>
  <c r="R466" i="18"/>
  <c r="J48" i="63" l="1"/>
  <c r="K48" i="63" s="1"/>
  <c r="G157" i="63"/>
  <c r="H157" i="63"/>
  <c r="I157" i="63"/>
  <c r="G158" i="63"/>
  <c r="H158" i="63"/>
  <c r="G162" i="63"/>
  <c r="H162" i="63"/>
  <c r="H176" i="63"/>
  <c r="I156" i="63"/>
  <c r="H156" i="63"/>
  <c r="G156" i="63"/>
  <c r="H155" i="63"/>
  <c r="G155" i="63"/>
  <c r="J176" i="63" l="1"/>
  <c r="K176" i="63" s="1"/>
  <c r="J157" i="63"/>
  <c r="K157" i="63" s="1"/>
  <c r="J155" i="63"/>
  <c r="K155" i="63" s="1"/>
  <c r="J162" i="63"/>
  <c r="K162" i="63" s="1"/>
  <c r="J156" i="63"/>
  <c r="K156" i="63" s="1"/>
  <c r="J158" i="63"/>
  <c r="K158" i="63" s="1"/>
  <c r="R465" i="18"/>
  <c r="I5" i="60"/>
  <c r="G5" i="60"/>
  <c r="R464" i="18" l="1"/>
  <c r="R463" i="18"/>
  <c r="D45"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P20" i="63"/>
  <c r="D16" i="73" l="1"/>
  <c r="F16" i="73"/>
  <c r="R462" i="18"/>
  <c r="D44" i="18" l="1"/>
  <c r="D43" i="18"/>
  <c r="C156" i="18" s="1"/>
  <c r="D42" i="18"/>
  <c r="H13" i="18" s="1"/>
  <c r="D71" i="18" l="1"/>
  <c r="D26" i="18"/>
  <c r="B26" i="18" s="1"/>
  <c r="D25" i="18"/>
  <c r="C155" i="18"/>
  <c r="F71" i="18"/>
  <c r="E71" i="18"/>
  <c r="D34" i="18"/>
  <c r="R460" i="18"/>
  <c r="B25" i="18" l="1"/>
  <c r="C167" i="18"/>
  <c r="C171" i="18"/>
  <c r="S61" i="63"/>
  <c r="R459" i="18"/>
  <c r="C13" i="71" l="1"/>
  <c r="H146" i="63" l="1"/>
  <c r="I146" i="63"/>
  <c r="G146" i="63"/>
  <c r="J146" i="63" l="1"/>
  <c r="K146" i="63" s="1"/>
  <c r="G179" i="63"/>
  <c r="H179" i="63"/>
  <c r="I179" i="63"/>
  <c r="G182" i="63"/>
  <c r="H182" i="63"/>
  <c r="I182" i="63"/>
  <c r="J182" i="63" l="1"/>
  <c r="K182" i="63" s="1"/>
  <c r="J179" i="63"/>
  <c r="K179" i="63" s="1"/>
  <c r="R458" i="18"/>
  <c r="I144" i="63" l="1"/>
  <c r="R457" i="18" l="1"/>
  <c r="I4" i="60" l="1"/>
  <c r="I3" i="60"/>
  <c r="B11" i="18" l="1"/>
  <c r="I18" i="60"/>
  <c r="G152" i="63" l="1"/>
  <c r="I152" i="63"/>
  <c r="H152" i="63"/>
  <c r="B30" i="18"/>
  <c r="J152" i="63" l="1"/>
  <c r="K152" i="63" s="1"/>
  <c r="R456" i="18" l="1"/>
  <c r="G143" i="63" l="1"/>
  <c r="H143" i="63"/>
  <c r="G144" i="63"/>
  <c r="J143" i="63" l="1"/>
  <c r="K143" i="63" s="1"/>
  <c r="J144" i="63"/>
  <c r="K144" i="63" s="1"/>
  <c r="E19" i="70"/>
  <c r="D19" i="70"/>
  <c r="C19" i="70"/>
  <c r="B19" i="70"/>
  <c r="C20" i="70"/>
  <c r="B20" i="70"/>
  <c r="O26"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9" i="18" l="1"/>
  <c r="R448" i="18" l="1"/>
  <c r="H62" i="18" l="1"/>
  <c r="R447" i="18"/>
  <c r="R446" i="18" l="1"/>
  <c r="H38"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I61" i="63" l="1"/>
  <c r="G61" i="63" l="1"/>
  <c r="H61" i="63"/>
  <c r="D38" i="18"/>
  <c r="B38" i="18" s="1"/>
  <c r="J61" i="63" l="1"/>
  <c r="K61" i="63" s="1"/>
  <c r="I145" i="63" l="1"/>
  <c r="H145" i="63"/>
  <c r="G145" i="63"/>
  <c r="J145" i="63" l="1"/>
  <c r="K145" i="63" s="1"/>
  <c r="N12" i="74"/>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I58" i="63" l="1"/>
  <c r="I59" i="63"/>
  <c r="I60" i="63"/>
  <c r="R445" i="18" l="1"/>
  <c r="R444" i="18"/>
  <c r="G3" i="63" l="1"/>
  <c r="G77" i="10" l="1"/>
  <c r="R443" i="18" l="1"/>
  <c r="R442" i="18" l="1"/>
  <c r="R441" i="18" l="1"/>
  <c r="R440" i="18" l="1"/>
  <c r="R439" i="18" l="1"/>
  <c r="H39" i="18" l="1"/>
  <c r="R438" i="18"/>
  <c r="R437" i="18" l="1"/>
  <c r="R505" i="18"/>
  <c r="R506" i="18"/>
  <c r="H41" i="18"/>
  <c r="I57" i="63" l="1"/>
  <c r="D10" i="18" l="1"/>
  <c r="G54" i="63" l="1"/>
  <c r="H54" i="63"/>
  <c r="I54" i="63"/>
  <c r="G55" i="63"/>
  <c r="H55" i="63"/>
  <c r="I55" i="63"/>
  <c r="G56" i="63"/>
  <c r="H56" i="63"/>
  <c r="I56" i="63"/>
  <c r="G57" i="63"/>
  <c r="H57" i="63"/>
  <c r="G58" i="63"/>
  <c r="H58" i="63"/>
  <c r="G59" i="63"/>
  <c r="H59" i="63"/>
  <c r="G60" i="63"/>
  <c r="H60" i="63"/>
  <c r="J59" i="63" l="1"/>
  <c r="K59" i="63" s="1"/>
  <c r="J60" i="63"/>
  <c r="K60" i="63" s="1"/>
  <c r="J58" i="63"/>
  <c r="K58" i="63" s="1"/>
  <c r="J57" i="63"/>
  <c r="K57" i="63" s="1"/>
  <c r="J54" i="63"/>
  <c r="K54" i="63" s="1"/>
  <c r="J56" i="63"/>
  <c r="K56" i="63" s="1"/>
  <c r="J55" i="63"/>
  <c r="K55" i="63" s="1"/>
  <c r="G49" i="63"/>
  <c r="H49" i="63"/>
  <c r="I49" i="63"/>
  <c r="G50" i="63"/>
  <c r="H50" i="63"/>
  <c r="I50" i="63"/>
  <c r="G51" i="63"/>
  <c r="H51" i="63"/>
  <c r="I51" i="63"/>
  <c r="G52" i="63"/>
  <c r="H52" i="63"/>
  <c r="I52" i="63"/>
  <c r="G53" i="63"/>
  <c r="H53" i="63"/>
  <c r="I53" i="63"/>
  <c r="J53" i="63" l="1"/>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H46" i="63"/>
  <c r="I46" i="63"/>
  <c r="H47" i="63"/>
  <c r="I47" i="63"/>
  <c r="J46" i="63" l="1"/>
  <c r="K46" i="63" s="1"/>
  <c r="J47" i="63"/>
  <c r="K47" i="63" s="1"/>
  <c r="I4" i="73"/>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G47" i="63"/>
  <c r="I207" i="63"/>
  <c r="I208" i="63"/>
  <c r="G208" i="63"/>
  <c r="H208" i="63"/>
  <c r="G207" i="63"/>
  <c r="H207" i="63"/>
  <c r="H45" i="63"/>
  <c r="I45" i="63"/>
  <c r="G46" i="63"/>
  <c r="J45" i="63" l="1"/>
  <c r="K45" i="63" s="1"/>
  <c r="J208" i="63"/>
  <c r="K208" i="63" s="1"/>
  <c r="J207" i="63"/>
  <c r="K207"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G41" i="63" l="1"/>
  <c r="H41" i="63"/>
  <c r="I41" i="63"/>
  <c r="G42" i="63"/>
  <c r="H42" i="63"/>
  <c r="I42" i="63"/>
  <c r="G43" i="63"/>
  <c r="H43" i="63"/>
  <c r="I43" i="63"/>
  <c r="G44" i="63"/>
  <c r="H44" i="63"/>
  <c r="I44" i="63"/>
  <c r="G45" i="63"/>
  <c r="I12" i="73"/>
  <c r="G206" i="63"/>
  <c r="H206" i="63"/>
  <c r="I204" i="63"/>
  <c r="I205" i="63"/>
  <c r="I206" i="63"/>
  <c r="I210" i="63"/>
  <c r="J210" i="63" s="1"/>
  <c r="K210" i="63" s="1"/>
  <c r="G205" i="63"/>
  <c r="H205" i="63"/>
  <c r="G35" i="63"/>
  <c r="H35" i="63"/>
  <c r="I35" i="63"/>
  <c r="G36" i="63"/>
  <c r="H36" i="63"/>
  <c r="I36" i="63"/>
  <c r="G37" i="63"/>
  <c r="H37" i="63"/>
  <c r="I37" i="63"/>
  <c r="G38" i="63"/>
  <c r="H38" i="63"/>
  <c r="I38" i="63"/>
  <c r="G39" i="63"/>
  <c r="H39" i="63"/>
  <c r="I39" i="63"/>
  <c r="G40" i="63"/>
  <c r="H40" i="63"/>
  <c r="I40" i="63"/>
  <c r="D9" i="18"/>
  <c r="J206" i="63" l="1"/>
  <c r="K206" i="63" s="1"/>
  <c r="J44" i="63"/>
  <c r="K44" i="63" s="1"/>
  <c r="J41" i="63"/>
  <c r="K41" i="63" s="1"/>
  <c r="J42" i="63"/>
  <c r="K42" i="63" s="1"/>
  <c r="J43" i="63"/>
  <c r="K43" i="63" s="1"/>
  <c r="J39" i="63"/>
  <c r="K39" i="63" s="1"/>
  <c r="J35" i="63"/>
  <c r="K35" i="63" s="1"/>
  <c r="J205" i="63"/>
  <c r="K205" i="63" s="1"/>
  <c r="J38" i="63"/>
  <c r="K38" i="63" s="1"/>
  <c r="J37" i="63"/>
  <c r="K37" i="63" s="1"/>
  <c r="J36" i="63"/>
  <c r="K36" i="63" s="1"/>
  <c r="J40" i="63"/>
  <c r="K40" i="63" s="1"/>
  <c r="G34" i="63"/>
  <c r="H34" i="63"/>
  <c r="G33" i="63"/>
  <c r="H33" i="63"/>
  <c r="G32" i="63"/>
  <c r="H32" i="63"/>
  <c r="I30" i="63"/>
  <c r="I31" i="63"/>
  <c r="I32" i="63"/>
  <c r="I33" i="63"/>
  <c r="I34" i="63"/>
  <c r="G31" i="63"/>
  <c r="H31" i="63"/>
  <c r="I203" i="63"/>
  <c r="G204" i="63"/>
  <c r="H204" i="63"/>
  <c r="I201" i="63"/>
  <c r="I202" i="63"/>
  <c r="G203" i="63"/>
  <c r="H203" i="63"/>
  <c r="J204" i="63" l="1"/>
  <c r="K204" i="63" s="1"/>
  <c r="J32" i="63"/>
  <c r="K32" i="63" s="1"/>
  <c r="J33" i="63"/>
  <c r="K33" i="63" s="1"/>
  <c r="J31" i="63"/>
  <c r="K31" i="63" s="1"/>
  <c r="J34" i="63"/>
  <c r="K34" i="63" s="1"/>
  <c r="J203" i="63"/>
  <c r="K203" i="63" s="1"/>
  <c r="R435" i="18" l="1"/>
  <c r="H201" i="63"/>
  <c r="H202" i="63"/>
  <c r="G202" i="63"/>
  <c r="J202" i="63" l="1"/>
  <c r="K202" i="63" s="1"/>
  <c r="J201" i="63"/>
  <c r="K201" i="63" s="1"/>
  <c r="H27" i="63"/>
  <c r="I27" i="63"/>
  <c r="H28" i="63"/>
  <c r="I28" i="63"/>
  <c r="H29" i="63"/>
  <c r="I29" i="63"/>
  <c r="H30" i="63"/>
  <c r="G30" i="63"/>
  <c r="G29" i="63"/>
  <c r="G28" i="63"/>
  <c r="J30" i="63" l="1"/>
  <c r="K30" i="63" s="1"/>
  <c r="J29" i="63"/>
  <c r="K29" i="63" s="1"/>
  <c r="J27" i="63"/>
  <c r="K27" i="63" s="1"/>
  <c r="J28" i="63"/>
  <c r="K28" i="63" s="1"/>
  <c r="G4" i="63" l="1"/>
  <c r="H4" i="63"/>
  <c r="I4" i="63"/>
  <c r="J4" i="63" l="1"/>
  <c r="K4" i="63" s="1"/>
  <c r="R434" i="18"/>
  <c r="I15" i="60" l="1"/>
  <c r="J15" i="60" s="1"/>
  <c r="J26" i="60" s="1"/>
  <c r="I2" i="60"/>
  <c r="I10" i="60" s="1"/>
  <c r="G12" i="73"/>
  <c r="I9" i="73"/>
  <c r="J9" i="73" s="1"/>
  <c r="G9" i="73"/>
  <c r="O12" i="73"/>
  <c r="J7" i="73"/>
  <c r="J8" i="73"/>
  <c r="J10" i="73"/>
  <c r="J11" i="73"/>
  <c r="J12" i="73"/>
  <c r="J13" i="73"/>
  <c r="J14" i="73"/>
  <c r="J3" i="73"/>
  <c r="J4" i="73"/>
  <c r="J5" i="73"/>
  <c r="O6" i="73"/>
  <c r="I6" i="73"/>
  <c r="J6" i="73" s="1"/>
  <c r="G6" i="73"/>
  <c r="G6" i="63"/>
  <c r="H6" i="63"/>
  <c r="I6" i="63"/>
  <c r="G7" i="63"/>
  <c r="H7" i="63"/>
  <c r="I7" i="63"/>
  <c r="R432" i="18"/>
  <c r="R433" i="18"/>
  <c r="J2" i="60" l="1"/>
  <c r="J10" i="60" s="1"/>
  <c r="J16" i="73"/>
  <c r="J7" i="63"/>
  <c r="K7" i="63" s="1"/>
  <c r="J6" i="63"/>
  <c r="K6" i="63" s="1"/>
  <c r="I14" i="63"/>
  <c r="G9" i="63"/>
  <c r="H9" i="63"/>
  <c r="I9" i="63"/>
  <c r="G11" i="63"/>
  <c r="H11" i="63"/>
  <c r="I11" i="63"/>
  <c r="F14" i="63"/>
  <c r="H14" i="63" s="1"/>
  <c r="J14" i="63" l="1"/>
  <c r="K14" i="63" s="1"/>
  <c r="J9" i="63"/>
  <c r="K9" i="63" s="1"/>
  <c r="J11" i="63"/>
  <c r="K11" i="63" s="1"/>
  <c r="H15" i="63"/>
  <c r="G15" i="63"/>
  <c r="I15" i="63"/>
  <c r="I16" i="63"/>
  <c r="I17" i="63"/>
  <c r="I18" i="63"/>
  <c r="I19" i="63"/>
  <c r="I20" i="63"/>
  <c r="I21" i="63"/>
  <c r="I22" i="63"/>
  <c r="I23" i="63"/>
  <c r="I24" i="63"/>
  <c r="I25" i="63"/>
  <c r="I26" i="63"/>
  <c r="R431" i="18"/>
  <c r="R430" i="18"/>
  <c r="R429" i="18"/>
  <c r="G27" i="63"/>
  <c r="G17" i="63"/>
  <c r="J15" i="63" l="1"/>
  <c r="K15" i="63" s="1"/>
  <c r="H22" i="63"/>
  <c r="G22" i="63"/>
  <c r="H17" i="63"/>
  <c r="H26" i="63"/>
  <c r="G26" i="63"/>
  <c r="G1" i="63"/>
  <c r="J22" i="63" l="1"/>
  <c r="K22" i="63" s="1"/>
  <c r="J17" i="63"/>
  <c r="K17" i="63" s="1"/>
  <c r="J26" i="63"/>
  <c r="K26" i="63" s="1"/>
  <c r="G19" i="63"/>
  <c r="H19" i="63"/>
  <c r="G23" i="63"/>
  <c r="H23" i="63"/>
  <c r="H20" i="63"/>
  <c r="G20" i="63"/>
  <c r="G18" i="63"/>
  <c r="H18" i="63"/>
  <c r="G24" i="63"/>
  <c r="H24" i="63"/>
  <c r="G16" i="63"/>
  <c r="H16" i="63"/>
  <c r="G25" i="63"/>
  <c r="H25" i="63"/>
  <c r="H21" i="63"/>
  <c r="G21" i="63"/>
  <c r="J24" i="63" l="1"/>
  <c r="K24" i="63" s="1"/>
  <c r="J16" i="63"/>
  <c r="K16" i="63" s="1"/>
  <c r="J18" i="63"/>
  <c r="K18" i="63" s="1"/>
  <c r="J25" i="63"/>
  <c r="K25" i="63" s="1"/>
  <c r="J20" i="63"/>
  <c r="K20" i="63" s="1"/>
  <c r="J19" i="63"/>
  <c r="K19" i="63" s="1"/>
  <c r="J21" i="63"/>
  <c r="K21" i="63" s="1"/>
  <c r="J23" i="63"/>
  <c r="K23" i="63" s="1"/>
  <c r="G184" i="63" l="1"/>
  <c r="H184" i="63"/>
  <c r="I184" i="63"/>
  <c r="G185" i="63"/>
  <c r="H185" i="63"/>
  <c r="I185" i="63"/>
  <c r="G186" i="63"/>
  <c r="H186" i="63"/>
  <c r="I186" i="63"/>
  <c r="G187" i="63"/>
  <c r="H187" i="63"/>
  <c r="I187" i="63"/>
  <c r="G188" i="63"/>
  <c r="H188" i="63"/>
  <c r="I188" i="63"/>
  <c r="G189" i="63"/>
  <c r="H189" i="63"/>
  <c r="I189" i="63"/>
  <c r="G190" i="63"/>
  <c r="H190" i="63"/>
  <c r="I190" i="63"/>
  <c r="G191" i="63"/>
  <c r="H191" i="63"/>
  <c r="I191" i="63"/>
  <c r="G192" i="63"/>
  <c r="H192" i="63"/>
  <c r="I192" i="63"/>
  <c r="G193" i="63"/>
  <c r="H193" i="63"/>
  <c r="I193" i="63"/>
  <c r="G194" i="63"/>
  <c r="H194" i="63"/>
  <c r="I194" i="63"/>
  <c r="G195" i="63"/>
  <c r="H195" i="63"/>
  <c r="I195" i="63"/>
  <c r="G196" i="63"/>
  <c r="H196" i="63"/>
  <c r="I196" i="63"/>
  <c r="G197" i="63"/>
  <c r="H197" i="63"/>
  <c r="I197" i="63"/>
  <c r="G198" i="63"/>
  <c r="H198" i="63"/>
  <c r="I198" i="63"/>
  <c r="G199" i="63"/>
  <c r="H199" i="63"/>
  <c r="I199" i="63"/>
  <c r="G200" i="63"/>
  <c r="H200" i="63"/>
  <c r="I200" i="63"/>
  <c r="G201" i="63"/>
  <c r="J194" i="63" l="1"/>
  <c r="K194" i="63" s="1"/>
  <c r="J193" i="63"/>
  <c r="K193" i="63" s="1"/>
  <c r="J188" i="63"/>
  <c r="K188" i="63" s="1"/>
  <c r="J187" i="63"/>
  <c r="K187" i="63" s="1"/>
  <c r="J184" i="63"/>
  <c r="K184" i="63" s="1"/>
  <c r="J196" i="63"/>
  <c r="K196" i="63" s="1"/>
  <c r="J195" i="63"/>
  <c r="K195" i="63" s="1"/>
  <c r="J190" i="63"/>
  <c r="K190" i="63" s="1"/>
  <c r="J189" i="63"/>
  <c r="K189" i="63" s="1"/>
  <c r="J197" i="63"/>
  <c r="K197" i="63" s="1"/>
  <c r="J192" i="63"/>
  <c r="K192" i="63" s="1"/>
  <c r="J191" i="63"/>
  <c r="K191" i="63" s="1"/>
  <c r="J186" i="63"/>
  <c r="K186" i="63" s="1"/>
  <c r="J198" i="63"/>
  <c r="K198" i="63" s="1"/>
  <c r="J200" i="63"/>
  <c r="K200" i="63" s="1"/>
  <c r="J199" i="63"/>
  <c r="K199" i="63" s="1"/>
  <c r="J185" i="63"/>
  <c r="K185" i="63" s="1"/>
  <c r="G183" i="63"/>
  <c r="H183" i="63"/>
  <c r="I183" i="63"/>
  <c r="J183" i="63" l="1"/>
  <c r="K183"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26" i="18"/>
  <c r="G14" i="63" l="1"/>
  <c r="G12" i="63" l="1"/>
  <c r="G13" i="63"/>
  <c r="I13" i="63"/>
  <c r="H13" i="63"/>
  <c r="H12" i="63"/>
  <c r="L47" i="60"/>
  <c r="J13" i="63" l="1"/>
  <c r="K13" i="63" s="1"/>
  <c r="F5" i="60"/>
  <c r="E4" i="60"/>
  <c r="F4" i="60" s="1"/>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42" i="18" l="1"/>
  <c r="O2" i="73" l="1"/>
  <c r="G2" i="73"/>
  <c r="M2" i="73"/>
  <c r="N2" i="73" s="1"/>
  <c r="K2" i="73"/>
  <c r="M3" i="73"/>
  <c r="K3" i="73"/>
  <c r="G3" i="73"/>
  <c r="O4" i="73"/>
  <c r="M4" i="73"/>
  <c r="K4" i="73"/>
  <c r="G4" i="73"/>
  <c r="O5" i="73"/>
  <c r="M5" i="73"/>
  <c r="N5" i="73" s="1"/>
  <c r="K5" i="73"/>
  <c r="G5" i="73"/>
  <c r="D34" i="60" l="1"/>
  <c r="Q527" i="18" l="1"/>
  <c r="Q528" i="18"/>
  <c r="Q529"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50" i="60" l="1"/>
  <c r="H26" i="60"/>
  <c r="G4" i="60" s="1"/>
  <c r="D50" i="60"/>
  <c r="L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L16" i="73"/>
  <c r="N16" i="73"/>
  <c r="P16" i="73"/>
  <c r="P18" i="73" s="1"/>
  <c r="H16" i="73"/>
  <c r="R16" i="73"/>
  <c r="R18" i="73" s="1"/>
  <c r="C5" i="60"/>
  <c r="D5" i="60" s="1"/>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0" i="18"/>
  <c r="D19" i="18"/>
  <c r="D134" i="72" l="1"/>
  <c r="E135" i="72"/>
  <c r="E134" i="72" l="1"/>
  <c r="D133" i="72"/>
  <c r="D132" i="72" l="1"/>
  <c r="E133" i="72"/>
  <c r="E132" i="72" l="1"/>
  <c r="D131" i="72"/>
  <c r="R384" i="18"/>
  <c r="E131" i="72" l="1"/>
  <c r="D130" i="72"/>
  <c r="P19"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10" i="18"/>
  <c r="B9" i="18"/>
  <c r="H4" i="18" l="1"/>
  <c r="E109" i="72"/>
  <c r="D108" i="72"/>
  <c r="E108" i="72" l="1"/>
  <c r="D107" i="72"/>
  <c r="R377" i="18"/>
  <c r="E107" i="72" l="1"/>
  <c r="D106" i="72"/>
  <c r="E106" i="72" l="1"/>
  <c r="D105" i="72"/>
  <c r="D104" i="72" l="1"/>
  <c r="E105" i="72"/>
  <c r="E104" i="72" l="1"/>
  <c r="D103" i="72"/>
  <c r="R376" i="18"/>
  <c r="R375" i="18"/>
  <c r="R374" i="18"/>
  <c r="E103" i="72" l="1"/>
  <c r="D102" i="72"/>
  <c r="E233" i="63"/>
  <c r="R373" i="18"/>
  <c r="D101" i="72" l="1"/>
  <c r="E102" i="72"/>
  <c r="R372" i="18"/>
  <c r="D100" i="72" l="1"/>
  <c r="E101" i="72"/>
  <c r="E100" i="72" l="1"/>
  <c r="D99" i="72"/>
  <c r="E99" i="72" l="1"/>
  <c r="D98" i="72"/>
  <c r="E98" i="72" l="1"/>
  <c r="D97" i="72"/>
  <c r="D232" i="63"/>
  <c r="E232" i="63"/>
  <c r="G232" i="63" s="1"/>
  <c r="D233" i="63"/>
  <c r="G233" i="63"/>
  <c r="D234" i="63"/>
  <c r="E234" i="63"/>
  <c r="G234" i="63" s="1"/>
  <c r="D235" i="63"/>
  <c r="E235" i="63"/>
  <c r="G235" i="63" s="1"/>
  <c r="D236" i="63"/>
  <c r="E236" i="63"/>
  <c r="G236" i="63" s="1"/>
  <c r="D237" i="63"/>
  <c r="E237" i="63"/>
  <c r="G237" i="63" s="1"/>
  <c r="D238" i="63"/>
  <c r="E238" i="63"/>
  <c r="G238" i="63" s="1"/>
  <c r="D239" i="63"/>
  <c r="E239" i="63"/>
  <c r="G239" i="63" s="1"/>
  <c r="D240" i="63"/>
  <c r="E240" i="63"/>
  <c r="G240" i="63" s="1"/>
  <c r="D241" i="63"/>
  <c r="E241" i="63"/>
  <c r="G241" i="63" s="1"/>
  <c r="D242" i="63"/>
  <c r="E242" i="63"/>
  <c r="G242" i="63" s="1"/>
  <c r="D243" i="63"/>
  <c r="E243" i="63"/>
  <c r="G243" i="63" s="1"/>
  <c r="D244" i="63"/>
  <c r="E244" i="63"/>
  <c r="G244" i="63" s="1"/>
  <c r="D245" i="63"/>
  <c r="E245" i="63"/>
  <c r="G245" i="63" s="1"/>
  <c r="D246" i="63"/>
  <c r="E246" i="63"/>
  <c r="G246" i="63" s="1"/>
  <c r="D247" i="63"/>
  <c r="E247" i="63"/>
  <c r="G247" i="63" s="1"/>
  <c r="D248" i="63"/>
  <c r="E248" i="63"/>
  <c r="G248" i="63" s="1"/>
  <c r="D249" i="63"/>
  <c r="E249" i="63"/>
  <c r="G249" i="63" s="1"/>
  <c r="D250" i="63"/>
  <c r="E250" i="63"/>
  <c r="D251" i="63"/>
  <c r="E251" i="63"/>
  <c r="D252" i="63"/>
  <c r="E252" i="63"/>
  <c r="D253" i="63"/>
  <c r="E253" i="63"/>
  <c r="E231" i="63"/>
  <c r="G231" i="63" s="1"/>
  <c r="D231"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I10" i="63"/>
  <c r="I12" i="63"/>
  <c r="D70" i="72" l="1"/>
  <c r="E71" i="72"/>
  <c r="J12" i="63"/>
  <c r="K12" i="63" s="1"/>
  <c r="R360" i="18"/>
  <c r="E70" i="72" l="1"/>
  <c r="D69" i="72"/>
  <c r="R359" i="18"/>
  <c r="E69" i="72" l="1"/>
  <c r="D68" i="72"/>
  <c r="G10" i="63"/>
  <c r="I8" i="63"/>
  <c r="G8" i="63"/>
  <c r="H8" i="63"/>
  <c r="D67" i="72" l="1"/>
  <c r="E68" i="72"/>
  <c r="J10" i="63"/>
  <c r="K10" i="63" s="1"/>
  <c r="J8" i="63"/>
  <c r="K8" i="63" s="1"/>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G5" i="63"/>
  <c r="H5" i="63"/>
  <c r="H3" i="63"/>
  <c r="AN256" i="18" l="1"/>
  <c r="AO257" i="18"/>
  <c r="D29" i="72"/>
  <c r="E30" i="72"/>
  <c r="J5" i="63"/>
  <c r="K5" i="63" s="1"/>
  <c r="J3" i="63"/>
  <c r="K3" i="63" s="1"/>
  <c r="R339" i="18"/>
  <c r="I2" i="63"/>
  <c r="G2" i="63"/>
  <c r="H2" i="63"/>
  <c r="AN255" i="18" l="1"/>
  <c r="AO256" i="18"/>
  <c r="D28" i="72"/>
  <c r="E29" i="72"/>
  <c r="J2" i="63"/>
  <c r="K2" i="63" s="1"/>
  <c r="AN254" i="18" l="1"/>
  <c r="AO255" i="18"/>
  <c r="E28" i="72"/>
  <c r="D27" i="72"/>
  <c r="R338" i="18"/>
  <c r="I1" i="63"/>
  <c r="H1" i="63"/>
  <c r="AO254" i="18" l="1"/>
  <c r="AN253" i="18"/>
  <c r="E27" i="72"/>
  <c r="D26" i="72"/>
  <c r="J1" i="63"/>
  <c r="K1" i="63" s="1"/>
  <c r="AN252" i="18" l="1"/>
  <c r="AO253" i="18"/>
  <c r="D25" i="72"/>
  <c r="E26" i="72"/>
  <c r="AN251" i="18" l="1"/>
  <c r="AO252" i="18"/>
  <c r="D24" i="72"/>
  <c r="E25" i="72"/>
  <c r="AN250" i="18" l="1"/>
  <c r="AO251" i="18"/>
  <c r="E24" i="72"/>
  <c r="D23" i="72"/>
  <c r="P55"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3" i="18"/>
  <c r="R321" i="18" l="1"/>
  <c r="R320" i="18" l="1"/>
  <c r="B29" i="18"/>
  <c r="B45"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33"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5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56"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44"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0"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34"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60" i="18"/>
  <c r="B43" i="18"/>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33" i="18"/>
  <c r="H3" i="18" s="1"/>
  <c r="AN115" i="18" l="1"/>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9" i="18"/>
  <c r="H2" i="18" l="1"/>
  <c r="J55" i="18"/>
  <c r="K55" i="18" s="1"/>
  <c r="AL515" i="18"/>
  <c r="AL516" i="18" s="1"/>
  <c r="AO94" i="18"/>
  <c r="AN93" i="18"/>
  <c r="AN311" i="18"/>
  <c r="AO312" i="18"/>
  <c r="AN92" i="18" l="1"/>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C64" i="18" l="1"/>
  <c r="J57" i="18"/>
  <c r="K57" i="18" s="1"/>
  <c r="K63" i="18" s="1"/>
  <c r="AL288" i="18"/>
  <c r="H1" i="18"/>
  <c r="H17" i="18" s="1"/>
  <c r="O510" i="18" s="1"/>
  <c r="E22" i="18" l="1"/>
  <c r="E26" i="18"/>
  <c r="E23" i="18"/>
  <c r="E27" i="18"/>
  <c r="E24" i="18"/>
  <c r="E28" i="18"/>
  <c r="E25" i="18"/>
  <c r="E29" i="18"/>
  <c r="E37" i="18"/>
  <c r="E36" i="18"/>
  <c r="E38" i="18"/>
  <c r="C66" i="18"/>
  <c r="E21" i="18"/>
  <c r="E43" i="18"/>
  <c r="E3" i="18"/>
  <c r="E45" i="18"/>
  <c r="E13" i="18"/>
  <c r="E46" i="18"/>
  <c r="E32" i="18"/>
  <c r="E20" i="18"/>
  <c r="E48" i="18"/>
  <c r="E33" i="18"/>
  <c r="F66" i="18"/>
  <c r="F68" i="18" s="1"/>
  <c r="E9" i="18"/>
  <c r="E52" i="18"/>
  <c r="E44" i="18"/>
  <c r="E55" i="18"/>
  <c r="E58" i="18"/>
  <c r="E59" i="18"/>
  <c r="E39" i="18"/>
  <c r="E49" i="18"/>
  <c r="E2" i="18"/>
  <c r="E12" i="18"/>
  <c r="E19" i="18"/>
  <c r="E60" i="18"/>
  <c r="E1" i="18"/>
  <c r="E34" i="18"/>
  <c r="E51" i="18"/>
  <c r="E47" i="18"/>
  <c r="E30" i="18"/>
  <c r="E35" i="18"/>
  <c r="D66" i="18"/>
  <c r="D69" i="18" s="1"/>
  <c r="E11" i="18"/>
  <c r="E10" i="18"/>
  <c r="E5" i="18"/>
  <c r="E56" i="18"/>
  <c r="E57" i="18"/>
  <c r="E17" i="18"/>
  <c r="E54" i="18"/>
  <c r="E18" i="18"/>
  <c r="E66" i="18"/>
  <c r="E68" i="18" s="1"/>
  <c r="E42" i="18"/>
  <c r="E53" i="18"/>
  <c r="E50" i="18"/>
  <c r="E41" i="18"/>
  <c r="E4" i="18"/>
  <c r="E8" i="18"/>
  <c r="AL289" i="18"/>
  <c r="AL291" i="18"/>
  <c r="P523" i="18"/>
  <c r="Q523" i="18" s="1"/>
  <c r="D68" i="18" l="1"/>
  <c r="F69" i="18"/>
  <c r="E69" i="18"/>
  <c r="L3" i="18"/>
  <c r="L5" i="18"/>
  <c r="L4" i="18"/>
  <c r="L6" i="18"/>
  <c r="Q513"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<sst xmlns="http://schemas.openxmlformats.org/spreadsheetml/2006/main" count="17448" uniqueCount="7023">
  <si>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</si>
  <si>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</si>
  <si>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</si>
  <si>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</si>
  <si>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</si>
  <si>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</si>
  <si>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</si>
  <si>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</si>
  <si>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</si>
  <si>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</si>
  <si>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</si>
  <si>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</si>
  <si>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</si>
  <si>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</si>
  <si>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</si>
  <si>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</si>
  <si>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</si>
  <si>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</si>
  <si>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</si>
  <si>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</si>
  <si>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</si>
  <si>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</si>
  <si>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</si>
  <si>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</si>
  <si>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</si>
  <si>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</si>
  <si>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</si>
  <si>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</si>
  <si>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</si>
  <si>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</si>
  <si>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</si>
  <si>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</si>
  <si>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</si>
  <si>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</si>
  <si>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</si>
  <si>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</si>
  <si>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</si>
  <si>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</si>
  <si>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</si>
  <si>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</si>
  <si>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</si>
  <si>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</si>
  <si>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</si>
  <si>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</si>
  <si>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</si>
  <si>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</si>
  <si>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</si>
  <si>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</si>
  <si>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</si>
  <si>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</si>
  <si>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</si>
  <si>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</si>
  <si>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</si>
  <si>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</si>
  <si>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</si>
  <si>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</si>
  <si>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</si>
  <si>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</si>
  <si>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</si>
  <si>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</si>
  <si>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</si>
  <si>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</si>
  <si>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</si>
  <si>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</si>
  <si>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</si>
  <si>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</si>
  <si>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</si>
  <si>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</si>
  <si>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</si>
  <si>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</si>
  <si>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</si>
  <si>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</si>
  <si>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</si>
  <si>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</si>
  <si>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</si>
  <si>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</si>
  <si>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</si>
  <si>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</si>
  <si>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</si>
  <si>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</si>
  <si>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</si>
  <si>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</si>
  <si>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</si>
  <si>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</si>
  <si>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</si>
  <si>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</si>
  <si>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</si>
  <si>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</si>
  <si>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</si>
  <si>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</si>
  <si>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</si>
  <si>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</si>
  <si>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</si>
  <si>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</si>
  <si>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</si>
  <si>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</si>
  <si>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</si>
  <si>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</si>
  <si>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</si>
  <si>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</si>
  <si>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</si>
  <si>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</si>
  <si>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</si>
  <si>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</si>
  <si>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</si>
  <si>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</si>
  <si>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</si>
  <si>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</si>
  <si>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</si>
  <si>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</si>
  <si>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</si>
  <si>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</si>
  <si>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</si>
  <si>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</si>
  <si>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</si>
  <si>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</si>
  <si>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</si>
  <si>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</si>
  <si>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</si>
  <si>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</si>
  <si>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</si>
  <si>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</si>
  <si>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</si>
  <si>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</si>
  <si>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</si>
  <si>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</si>
  <si>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</si>
  <si>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</si>
  <si>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</si>
  <si>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</si>
  <si>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</si>
  <si>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</si>
  <si>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</si>
  <si>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</si>
  <si>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</si>
  <si>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</si>
  <si>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</si>
  <si>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</si>
  <si>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</si>
  <si>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</si>
  <si>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</si>
  <si>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</si>
  <si>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</si>
  <si>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</si>
  <si>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</si>
  <si>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</si>
  <si>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</si>
  <si>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</si>
  <si>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</si>
  <si>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</si>
  <si>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</si>
  <si>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</si>
  <si>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</si>
  <si>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</si>
  <si>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</si>
  <si>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</si>
  <si>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</si>
  <si>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</si>
  <si>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</si>
  <si>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</si>
  <si>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</si>
  <si>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</si>
  <si>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</si>
  <si>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</si>
  <si>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</si>
  <si>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</si>
  <si>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</si>
  <si>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</si>
  <si>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</si>
  <si>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</si>
  <si>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</si>
  <si>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</si>
  <si>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</si>
  <si>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</si>
  <si>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</si>
  <si>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</si>
  <si>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</si>
  <si>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</si>
  <si>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</si>
  <si>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</si>
  <si>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</si>
  <si>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</si>
  <si>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</si>
  <si>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</si>
  <si>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</si>
  <si>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</si>
  <si>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</si>
  <si>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</si>
  <si>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</si>
  <si>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</si>
  <si>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</si>
  <si>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</si>
  <si>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</si>
  <si>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</si>
  <si>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</si>
  <si>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</si>
  <si>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</si>
  <si>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</si>
  <si>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</si>
  <si>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</si>
  <si>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</si>
  <si>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</si>
  <si>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</si>
  <si>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</si>
  <si>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</si>
  <si>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</si>
  <si>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</si>
  <si>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</si>
  <si>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</si>
  <si>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</si>
  <si>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</si>
  <si>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</si>
  <si>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</si>
  <si>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</si>
  <si>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</si>
  <si>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</si>
  <si>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</si>
  <si>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</si>
  <si>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</si>
  <si>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</si>
  <si>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</si>
  <si>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</si>
  <si>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</si>
  <si>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</si>
  <si>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</si>
  <si>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</si>
  <si>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</si>
  <si>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</si>
  <si>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</si>
  <si>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</si>
  <si>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</si>
  <si>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</si>
  <si>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</si>
  <si>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</si>
  <si>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</si>
  <si>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</si>
  <si>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</si>
  <si>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</si>
  <si>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</si>
  <si>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</si>
  <si>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</si>
  <si>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</si>
  <si>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</si>
  <si>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</si>
  <si>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</si>
  <si>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</si>
  <si>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</si>
  <si>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</si>
  <si>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</si>
  <si>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</si>
  <si>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</si>
  <si>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</si>
  <si>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</si>
  <si>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</si>
  <si>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</si>
  <si>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</si>
  <si>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</si>
  <si>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</si>
  <si>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</si>
  <si>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</si>
  <si>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</si>
  <si>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</si>
  <si>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</si>
  <si>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</si>
  <si>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</si>
  <si>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</si>
  <si>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</si>
  <si>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</si>
  <si>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</si>
  <si>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</si>
  <si>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</si>
  <si>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</si>
  <si>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</si>
  <si>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</si>
  <si>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</si>
  <si>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</si>
  <si>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</si>
  <si>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</si>
  <si>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</si>
  <si>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</si>
  <si>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</si>
  <si>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</si>
  <si>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</si>
  <si>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</si>
  <si>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</si>
  <si>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</si>
  <si>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</si>
  <si>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</si>
  <si>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</si>
  <si>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</si>
  <si>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</si>
  <si>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</si>
  <si>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</si>
  <si>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</si>
  <si>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</si>
  <si>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</si>
  <si>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</si>
  <si>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</si>
  <si>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</si>
  <si>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</si>
  <si>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</si>
  <si>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</si>
  <si>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</si>
  <si>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</si>
  <si>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</si>
  <si>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</si>
  <si>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</si>
  <si>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</si>
  <si>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</si>
  <si>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</si>
  <si>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</si>
  <si>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</si>
  <si>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</si>
  <si>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</si>
  <si>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</si>
  <si>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</si>
  <si>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</si>
  <si>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</si>
  <si>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</si>
  <si>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</si>
  <si>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</si>
  <si>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</si>
  <si>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</si>
  <si>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</si>
  <si>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</si>
  <si>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</si>
  <si>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</si>
  <si>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</si>
  <si>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</si>
  <si>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</si>
  <si>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</si>
  <si>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</si>
  <si>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</si>
  <si>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</si>
  <si>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</si>
  <si>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</si>
  <si>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</si>
  <si>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</si>
  <si>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</si>
  <si>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</si>
  <si>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</si>
  <si>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</si>
  <si>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</si>
  <si>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</si>
  <si>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</si>
  <si>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</si>
  <si>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</si>
  <si>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</si>
  <si>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</si>
  <si>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</si>
  <si>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</si>
  <si>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</si>
  <si>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</si>
  <si>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</si>
  <si>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</si>
  <si>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</si>
  <si>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</si>
  <si>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</si>
  <si>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</si>
  <si>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</si>
  <si>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</si>
  <si>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</si>
  <si>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</si>
  <si>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</si>
  <si>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</si>
  <si>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</si>
  <si>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</si>
  <si>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</si>
  <si>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</si>
  <si>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</si>
  <si>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</si>
  <si>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</si>
  <si>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</si>
  <si>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</si>
  <si>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</si>
  <si>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</si>
  <si>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</si>
  <si>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</si>
  <si>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</si>
  <si>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</si>
  <si>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</si>
  <si>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</si>
  <si>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</si>
  <si>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</si>
  <si>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</si>
  <si>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</si>
  <si>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</si>
  <si>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</si>
  <si>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</si>
  <si>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</si>
  <si>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</si>
  <si>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</si>
  <si>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</si>
  <si>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</si>
  <si>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</si>
  <si>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</si>
  <si>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</si>
  <si>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</si>
  <si>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</si>
  <si>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</si>
  <si>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</si>
  <si>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</si>
  <si>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</si>
  <si>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</si>
  <si>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</si>
  <si>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</si>
  <si>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</si>
  <si>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</si>
  <si>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</si>
  <si>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</si>
  <si>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</si>
  <si>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</si>
  <si>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</si>
  <si>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</si>
  <si>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</si>
  <si>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</si>
  <si>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</si>
  <si>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</si>
  <si>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</si>
  <si>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</si>
  <si>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</si>
  <si>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</si>
  <si>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</si>
  <si>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</si>
  <si>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</si>
  <si>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</si>
  <si>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</si>
  <si>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</si>
  <si>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</si>
  <si>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</si>
  <si>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</si>
  <si>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</si>
  <si>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</si>
  <si>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</si>
  <si>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</si>
  <si>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</si>
  <si>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</si>
  <si>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</si>
  <si>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</si>
  <si>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</si>
  <si>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</si>
  <si>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</si>
  <si>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</si>
  <si>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</si>
  <si>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</si>
  <si>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</si>
  <si>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</si>
  <si>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</si>
  <si>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</si>
  <si>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</si>
  <si>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</si>
  <si>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</si>
  <si>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</si>
  <si>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</si>
  <si>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</si>
  <si>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</si>
  <si>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</si>
  <si>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</si>
  <si>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</si>
  <si>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</si>
  <si>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</si>
  <si>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</si>
  <si>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</si>
  <si>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</si>
  <si>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</si>
  <si>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</si>
  <si>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</si>
  <si>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</si>
  <si>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</si>
  <si>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</si>
  <si>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</si>
  <si>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</si>
  <si>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</si>
  <si>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</si>
  <si>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</si>
  <si>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</si>
  <si>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</si>
  <si>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</si>
  <si>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</si>
  <si>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</si>
  <si>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</si>
  <si>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</si>
  <si>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</si>
  <si>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</si>
  <si>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</si>
  <si>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</si>
  <si>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</si>
  <si>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</si>
  <si>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</si>
  <si>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</si>
  <si>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</si>
  <si>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</si>
  <si>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</si>
  <si>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</si>
  <si>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</si>
  <si>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</si>
  <si>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</si>
  <si>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</si>
  <si>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</si>
  <si>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</si>
  <si>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</si>
  <si>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</si>
  <si>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</si>
  <si>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</si>
  <si>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</si>
  <si>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</si>
  <si>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</si>
  <si>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</si>
  <si>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</si>
  <si>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</si>
  <si>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</si>
  <si>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</si>
  <si>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</si>
  <si>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</si>
  <si>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</si>
  <si>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</si>
  <si>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</si>
  <si>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</si>
  <si>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</si>
  <si>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</si>
  <si>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</si>
  <si>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</si>
  <si>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</si>
  <si>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</si>
  <si>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</si>
  <si>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</si>
  <si>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</si>
  <si>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</si>
  <si>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</si>
  <si>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</si>
  <si>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</si>
  <si>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</si>
  <si>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</si>
  <si>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</si>
  <si>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</si>
  <si>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</si>
  <si>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</si>
  <si>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</si>
  <si>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</si>
  <si>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</si>
  <si>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</si>
  <si>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</si>
  <si>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</si>
  <si>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</si>
  <si>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</si>
  <si>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</si>
  <si>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</si>
  <si>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</si>
  <si>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</si>
  <si>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</si>
  <si>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</si>
  <si>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</si>
  <si>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</si>
  <si>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</si>
  <si>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</si>
  <si>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</si>
  <si>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</si>
  <si>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</si>
  <si>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</si>
  <si>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</si>
  <si>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</si>
  <si>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</si>
  <si>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</si>
  <si>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</si>
  <si>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</si>
  <si>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</si>
  <si>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</si>
  <si>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</si>
  <si>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</si>
  <si>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</si>
  <si>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</si>
  <si>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</si>
  <si>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</si>
  <si>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</si>
  <si>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</si>
  <si>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</si>
  <si>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</si>
  <si>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</si>
  <si>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</si>
  <si>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</si>
  <si>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</si>
  <si>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</si>
  <si>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</si>
  <si>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</si>
  <si>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</si>
  <si>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</si>
  <si>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</si>
  <si>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</si>
  <si>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</si>
  <si>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</si>
  <si>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</si>
  <si>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</si>
  <si>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</si>
  <si>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</si>
  <si>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</si>
  <si>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</si>
  <si>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</si>
  <si>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</si>
  <si>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</si>
  <si>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</si>
  <si>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</si>
  <si>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</si>
  <si>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</si>
  <si>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</si>
  <si>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</si>
  <si>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</si>
  <si>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</si>
  <si>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</si>
  <si>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</si>
  <si>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</si>
  <si>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</si>
  <si>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</si>
  <si>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</si>
  <si>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</si>
  <si>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</si>
  <si>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</si>
  <si>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</si>
  <si>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</si>
  <si>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</si>
  <si>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</si>
  <si>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</si>
  <si>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</si>
  <si>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</si>
  <si>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</si>
  <si>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</si>
  <si>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</si>
  <si>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</si>
  <si>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</si>
  <si>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</si>
  <si>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</si>
  <si>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</si>
  <si>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</si>
  <si>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</si>
  <si>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</si>
  <si>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</si>
  <si>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</si>
  <si>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</si>
  <si>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</si>
  <si>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</si>
  <si>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</si>
  <si>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</si>
  <si>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</si>
  <si>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</si>
  <si>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</si>
  <si>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</si>
  <si>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</si>
  <si>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</si>
  <si>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</si>
  <si>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</si>
  <si>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</si>
  <si>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</si>
  <si>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</si>
  <si>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</si>
  <si>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</si>
  <si>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</si>
  <si>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</si>
  <si>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</si>
  <si>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</si>
  <si>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</si>
  <si>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</si>
  <si>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</si>
  <si>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</si>
  <si>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</si>
  <si>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</si>
  <si>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</si>
  <si>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</si>
  <si>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</si>
  <si>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</si>
  <si>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</si>
  <si>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</si>
  <si>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</si>
  <si>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</si>
  <si>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</si>
  <si>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</si>
  <si>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</si>
  <si>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</si>
  <si>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</si>
  <si>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</si>
  <si>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</si>
  <si>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</si>
  <si>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</si>
  <si>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</si>
  <si>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</si>
  <si>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</si>
  <si>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</si>
  <si>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</si>
  <si>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</si>
  <si>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</si>
  <si>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</si>
  <si>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</si>
  <si>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</si>
  <si>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</si>
  <si>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</si>
  <si>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</si>
  <si>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</si>
  <si>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</si>
  <si>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</si>
  <si>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</si>
  <si>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</si>
  <si>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</si>
  <si>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</si>
  <si>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</si>
  <si>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</si>
  <si>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</si>
  <si>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</si>
  <si>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</si>
  <si>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</si>
  <si>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</si>
  <si>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</si>
  <si>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</si>
  <si>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</si>
  <si>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</si>
  <si>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</si>
  <si>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</si>
  <si>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</si>
  <si>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</si>
  <si>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</si>
  <si>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</si>
  <si>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</si>
  <si>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</si>
  <si>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</si>
  <si>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</si>
  <si>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</si>
  <si>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</si>
  <si>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</si>
  <si>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</si>
  <si>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</si>
  <si>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</si>
  <si>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</si>
  <si>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</si>
  <si>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</si>
  <si>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</si>
  <si>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</si>
  <si>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</si>
  <si>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</si>
  <si>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</si>
  <si>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</si>
  <si>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</si>
  <si>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</si>
  <si>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</si>
  <si>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</si>
  <si>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</si>
  <si>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</si>
  <si>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</si>
  <si>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</si>
  <si>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</si>
  <si>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</si>
  <si>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</si>
  <si>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</si>
  <si>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</si>
  <si>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</si>
  <si>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</si>
  <si>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</si>
  <si>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</si>
  <si>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</si>
  <si>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</si>
  <si>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</si>
  <si>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</si>
  <si>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</si>
  <si>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</si>
  <si>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</si>
  <si>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</si>
  <si>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</si>
  <si>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</si>
  <si>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</si>
  <si>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</si>
  <si>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</si>
  <si>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</si>
  <si>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</si>
  <si>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</si>
  <si>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</si>
  <si>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</si>
  <si>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</si>
  <si>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</si>
  <si>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</si>
  <si>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</si>
  <si>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</si>
  <si>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</si>
  <si>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</si>
  <si>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</si>
  <si>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</si>
  <si>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</si>
  <si>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</si>
  <si>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</si>
  <si>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</si>
  <si>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</si>
  <si>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</si>
  <si>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</si>
  <si>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</si>
  <si>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</si>
  <si>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</si>
  <si>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</si>
  <si>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</si>
  <si>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</si>
  <si>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</si>
  <si>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</si>
  <si>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</si>
  <si>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</si>
  <si>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</si>
  <si>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</si>
  <si>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</si>
  <si>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</si>
  <si>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</si>
  <si>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</si>
  <si>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</si>
  <si>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</si>
  <si>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</si>
  <si>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</si>
  <si>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</si>
  <si>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</si>
  <si>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</si>
  <si>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</si>
  <si>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</si>
  <si>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</si>
  <si>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</si>
  <si>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</si>
  <si>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</si>
  <si>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</si>
  <si>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</si>
  <si>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</si>
  <si>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</si>
  <si>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</si>
  <si>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</si>
  <si>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</si>
  <si>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</si>
  <si>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</si>
  <si>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</si>
  <si>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</si>
  <si>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</si>
  <si>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</si>
  <si>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</si>
  <si>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</si>
  <si>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</si>
  <si>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</si>
  <si>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</si>
  <si>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</si>
  <si>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</si>
  <si>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</si>
  <si>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</si>
  <si>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</si>
  <si>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</si>
  <si>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</si>
  <si>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</si>
  <si>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</si>
  <si>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</si>
  <si>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</si>
  <si>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</si>
  <si>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</si>
  <si>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</si>
  <si>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</si>
  <si>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</si>
  <si>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</si>
  <si>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</si>
  <si>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</si>
  <si>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</si>
  <si>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</si>
  <si>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</si>
  <si>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</si>
  <si>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</si>
  <si>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</si>
  <si>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</si>
  <si>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</si>
  <si>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</si>
  <si>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</si>
  <si>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</si>
  <si>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</si>
  <si>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</si>
  <si>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</si>
  <si>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</si>
  <si>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</si>
  <si>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</si>
  <si>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</si>
  <si>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</si>
  <si>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</si>
  <si>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</si>
  <si>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</si>
  <si>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</si>
  <si>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</si>
  <si>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</si>
  <si>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</si>
  <si>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</si>
  <si>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</si>
  <si>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</si>
  <si>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</si>
  <si>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</si>
  <si>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</si>
  <si>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</si>
  <si>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</si>
  <si>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</si>
  <si>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</si>
  <si>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</si>
  <si>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</si>
  <si>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</si>
  <si>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</si>
  <si>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</si>
  <si>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</si>
  <si>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</si>
  <si>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</si>
  <si>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</si>
  <si>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</si>
  <si>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</si>
  <si>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</si>
  <si>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</si>
  <si>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</si>
  <si>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</si>
  <si>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</si>
  <si>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</si>
  <si>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</si>
  <si>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</si>
  <si>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</si>
  <si>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</si>
  <si>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</si>
  <si>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</si>
  <si>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</si>
  <si>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</si>
  <si>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</si>
  <si>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</si>
  <si>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</si>
  <si>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</si>
  <si>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</si>
  <si>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</si>
  <si>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</si>
  <si>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</si>
  <si>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</si>
  <si>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</si>
  <si>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</si>
  <si>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</si>
  <si>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</si>
  <si>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</si>
  <si>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</si>
  <si>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</si>
  <si>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</si>
  <si>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</si>
  <si>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</si>
  <si>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</si>
  <si>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</si>
  <si>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</si>
  <si>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</si>
  <si>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</si>
  <si>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</si>
  <si>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</si>
  <si>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</si>
  <si>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</si>
  <si>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</si>
  <si>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</si>
  <si>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</si>
  <si>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</si>
  <si>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</si>
  <si>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</si>
  <si>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</si>
  <si>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</si>
  <si>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</si>
  <si>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</si>
  <si>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</si>
  <si>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</si>
  <si>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</si>
  <si>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</si>
  <si>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</si>
  <si>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</si>
  <si>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</si>
  <si>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</si>
  <si>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</si>
  <si>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</si>
  <si>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</si>
  <si>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</si>
  <si>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</si>
  <si>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</si>
  <si>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</si>
  <si>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</si>
  <si>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</si>
  <si>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</si>
  <si>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</si>
  <si>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</si>
  <si>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</si>
  <si>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</si>
  <si>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</si>
  <si>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</si>
  <si>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</si>
  <si>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</si>
  <si>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</si>
  <si>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</si>
  <si>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</si>
  <si>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</si>
  <si>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</si>
  <si>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</si>
  <si>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</si>
  <si>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</si>
  <si>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</si>
  <si>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</si>
  <si>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</si>
  <si>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</si>
  <si>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</si>
  <si>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</si>
  <si>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</si>
  <si>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</si>
  <si>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</si>
  <si>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</si>
  <si>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</si>
  <si>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</si>
  <si>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</si>
  <si>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</si>
  <si>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</si>
  <si>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</si>
  <si>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</si>
  <si>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</si>
  <si>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</si>
  <si>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</si>
  <si>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</si>
  <si>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</si>
  <si>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</si>
  <si>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</si>
  <si>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</si>
  <si>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</si>
  <si>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</si>
  <si>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</si>
  <si>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</si>
  <si>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</si>
  <si>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</si>
  <si>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</si>
  <si>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</si>
  <si>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</si>
  <si>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</si>
  <si>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</si>
  <si>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</si>
  <si>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</si>
  <si>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</si>
  <si>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</si>
  <si>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</si>
  <si>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</si>
  <si>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</si>
  <si>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</si>
  <si>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</si>
  <si>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</si>
  <si>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</si>
  <si>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</si>
  <si>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</si>
  <si>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</si>
  <si>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</si>
  <si>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</si>
  <si>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</si>
  <si>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</si>
  <si>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</si>
  <si>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</si>
  <si>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</si>
  <si>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</si>
  <si>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</si>
  <si>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</si>
  <si>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</si>
  <si>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</si>
  <si>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</si>
  <si>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</si>
  <si>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</si>
  <si>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</si>
  <si>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</si>
  <si>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</si>
  <si>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</si>
  <si>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</si>
  <si>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</si>
  <si>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</si>
  <si>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</si>
  <si>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</si>
  <si>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</si>
  <si>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</si>
  <si>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</si>
  <si>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</si>
  <si>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</si>
  <si>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</si>
  <si>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</si>
  <si>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</si>
  <si>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</si>
  <si>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</si>
  <si>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</si>
  <si>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</si>
  <si>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</si>
  <si>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</si>
  <si>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</si>
  <si>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</si>
  <si>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</si>
  <si>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</si>
  <si>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</si>
  <si>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</si>
  <si>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</si>
  <si>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</si>
  <si>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</si>
  <si>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</si>
  <si>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</si>
  <si>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</si>
  <si>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</si>
  <si>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</si>
  <si>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</si>
  <si>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</si>
  <si>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</si>
  <si>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</si>
  <si>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</si>
  <si>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</si>
  <si>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</si>
  <si>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</si>
  <si>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</si>
  <si>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</si>
  <si>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</si>
  <si>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</si>
  <si>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</si>
  <si>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</si>
  <si>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</si>
  <si>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</si>
  <si>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</si>
  <si>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</si>
  <si>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</si>
  <si>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</si>
  <si>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</si>
  <si>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</si>
  <si>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</si>
  <si>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</si>
  <si>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</si>
  <si>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</si>
  <si>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</si>
  <si>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</si>
  <si>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</si>
  <si>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</si>
  <si>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</si>
  <si>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</si>
  <si>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</si>
  <si>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</si>
  <si>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</si>
  <si>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</si>
  <si>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</si>
  <si>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</si>
  <si>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</si>
  <si>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</si>
  <si>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</si>
  <si>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</si>
  <si>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</si>
  <si>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</si>
  <si>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</si>
  <si>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</si>
  <si>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</si>
  <si>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</si>
  <si>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</si>
  <si>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</si>
  <si>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</si>
  <si>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</si>
  <si>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</si>
  <si>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</si>
  <si>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</si>
  <si>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</si>
  <si>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</si>
  <si>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</si>
  <si>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</si>
  <si>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</si>
  <si>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</si>
  <si>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</si>
  <si>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</si>
  <si>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</si>
  <si>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</si>
  <si>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</si>
  <si>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</si>
  <si>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</si>
  <si>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</si>
  <si>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</si>
  <si>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</si>
  <si>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</si>
  <si>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</si>
  <si>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</si>
  <si>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</si>
  <si>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</si>
  <si>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</si>
  <si>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</si>
  <si>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</si>
  <si>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</si>
  <si>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</si>
  <si>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</si>
  <si>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</si>
  <si>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</si>
  <si>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</si>
  <si>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</si>
  <si>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</si>
  <si>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</si>
  <si>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</si>
  <si>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</si>
  <si>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</si>
  <si>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</si>
  <si>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</si>
  <si>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</si>
  <si>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</si>
  <si>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</si>
  <si>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</si>
  <si>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</si>
  <si>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</si>
  <si>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</si>
  <si>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</si>
  <si>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</si>
  <si>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</si>
  <si>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</si>
  <si>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</si>
  <si>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</si>
  <si>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</si>
  <si>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</si>
  <si>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</si>
  <si>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</si>
  <si>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</si>
  <si>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</si>
  <si>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</si>
  <si>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</si>
  <si>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</si>
  <si>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</si>
  <si>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</si>
  <si>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</si>
  <si>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</si>
  <si>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</si>
  <si>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</si>
  <si>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</si>
  <si>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</si>
  <si>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</si>
  <si>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</si>
  <si>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</si>
  <si>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</si>
  <si>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</si>
  <si>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</si>
  <si>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</si>
  <si>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</si>
  <si>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</si>
  <si>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</si>
  <si>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</si>
  <si>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</si>
  <si>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</si>
  <si>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</si>
  <si>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</si>
  <si>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</si>
  <si>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</si>
  <si>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</si>
  <si>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</si>
  <si>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</si>
  <si>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</si>
  <si>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</si>
  <si>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</si>
  <si>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</si>
  <si>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</si>
  <si>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</si>
  <si>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</si>
  <si>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</si>
  <si>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</si>
  <si>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</si>
  <si>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</si>
  <si>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</si>
  <si>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</si>
  <si>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</si>
  <si>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</si>
  <si>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</si>
  <si>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</si>
  <si>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</si>
  <si>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</si>
  <si>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</si>
  <si>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</si>
  <si>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</si>
  <si>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</si>
  <si>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</si>
  <si>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</si>
  <si>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</si>
  <si>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</si>
  <si>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</si>
  <si>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</si>
  <si>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</si>
  <si>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</si>
  <si>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</si>
  <si>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</si>
  <si>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</si>
  <si>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</si>
  <si>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</si>
  <si>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</si>
  <si>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</si>
  <si>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</si>
  <si>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</si>
  <si>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</si>
  <si>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</si>
  <si>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</si>
  <si>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</si>
  <si>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</si>
  <si>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</si>
  <si>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</si>
  <si>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</si>
  <si>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</si>
  <si>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</si>
  <si>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</si>
  <si>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</si>
  <si>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</si>
  <si>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</si>
  <si>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</si>
  <si>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</si>
  <si>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</si>
  <si>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</si>
  <si>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</si>
  <si>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</si>
  <si>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</si>
  <si>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</si>
  <si>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</si>
  <si>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</si>
  <si>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</si>
  <si>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</si>
  <si>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</si>
  <si>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</si>
  <si>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</si>
  <si>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</si>
  <si>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</si>
  <si>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</si>
  <si>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</si>
  <si>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</si>
  <si>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</si>
  <si>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</si>
  <si>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</si>
  <si>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</si>
  <si>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</si>
  <si>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</si>
  <si>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</si>
  <si>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</si>
  <si>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</si>
  <si>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</si>
  <si>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</si>
  <si>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</si>
  <si>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</si>
  <si>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</si>
  <si>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</si>
  <si>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</si>
  <si>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</si>
  <si>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</si>
  <si>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</si>
  <si>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</si>
  <si>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</si>
  <si>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</si>
  <si>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</si>
  <si>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</si>
  <si>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</si>
  <si>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</si>
  <si>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</si>
  <si>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</si>
  <si>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</si>
  <si>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</si>
  <si>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</si>
  <si>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</si>
  <si>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</si>
  <si>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</si>
  <si>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</si>
  <si>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</si>
  <si>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</si>
  <si>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</si>
  <si>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</si>
  <si>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</si>
  <si>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</si>
  <si>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</si>
  <si>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</si>
  <si>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</si>
  <si>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</si>
  <si>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</si>
  <si>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</si>
  <si>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</si>
  <si>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</si>
  <si>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</si>
  <si>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</si>
  <si>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</si>
  <si>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</si>
  <si>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</si>
  <si>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</si>
  <si>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</si>
  <si>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</si>
  <si>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</si>
  <si>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</si>
  <si>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</si>
  <si>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</si>
  <si>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</si>
  <si>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</si>
  <si>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</si>
  <si>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</si>
  <si>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</si>
  <si>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</si>
  <si>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</si>
  <si>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</si>
  <si>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</si>
  <si>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</si>
  <si>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</si>
  <si>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</si>
  <si>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</si>
  <si>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</si>
  <si>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</si>
  <si>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</si>
  <si>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</si>
  <si>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</si>
  <si>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</si>
  <si>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</si>
  <si>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</si>
  <si>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</si>
  <si>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</si>
  <si>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</si>
  <si>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</si>
  <si>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</si>
  <si>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</si>
  <si>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</si>
  <si>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</si>
  <si>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</si>
  <si>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</si>
  <si>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</si>
  <si>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</si>
  <si>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</si>
  <si>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</si>
  <si>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</si>
  <si>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</si>
  <si>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</si>
  <si>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</si>
  <si>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</si>
  <si>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</si>
  <si>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</si>
  <si>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</si>
  <si>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</si>
  <si>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</si>
  <si>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</si>
  <si>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</si>
  <si>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</si>
  <si>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</si>
  <si>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</si>
  <si>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</si>
  <si>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</si>
  <si>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</si>
  <si>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</si>
  <si>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</si>
  <si>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</si>
  <si>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</si>
  <si>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</si>
  <si>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</si>
  <si>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</si>
  <si>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</si>
  <si>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</si>
  <si>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</si>
  <si>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</si>
  <si>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</si>
  <si>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</si>
  <si>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</si>
  <si>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</si>
  <si>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</si>
  <si>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</si>
  <si>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</si>
  <si>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</si>
  <si>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</si>
  <si>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</si>
  <si>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</si>
  <si>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</si>
  <si>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</si>
  <si>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</si>
  <si>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</si>
  <si>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</si>
  <si>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</si>
  <si>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</si>
  <si>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</si>
  <si>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</si>
  <si>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</si>
  <si>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</si>
  <si>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</si>
  <si>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</si>
  <si>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</si>
  <si>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</si>
  <si>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</si>
  <si>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</si>
  <si>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</si>
  <si>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</si>
  <si>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</si>
  <si>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</si>
  <si>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</si>
  <si>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</si>
  <si>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</si>
  <si>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</si>
  <si>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</si>
  <si>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</si>
  <si>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</si>
  <si>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</si>
  <si>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</si>
  <si>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</si>
  <si>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</si>
  <si>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</si>
  <si>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</si>
  <si>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</si>
  <si>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</si>
  <si>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</si>
  <si>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</si>
  <si>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</si>
  <si>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</si>
  <si>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</si>
  <si>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</si>
  <si>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</si>
  <si>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</si>
  <si>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</si>
  <si>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</si>
  <si>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</si>
  <si>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</si>
  <si>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</si>
  <si>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</si>
  <si>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</si>
  <si>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</si>
  <si>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</si>
  <si>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</si>
  <si>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</si>
  <si>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</si>
  <si>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</si>
  <si>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</si>
  <si>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</si>
  <si>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</si>
  <si>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</si>
  <si>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</si>
  <si>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</si>
  <si>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</si>
  <si>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</si>
  <si>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</si>
  <si>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</si>
  <si>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</si>
  <si>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</si>
  <si>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</si>
  <si>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</si>
  <si>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</si>
  <si>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</si>
  <si>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</si>
  <si>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</si>
  <si>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</si>
  <si>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</si>
  <si>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</si>
  <si>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</si>
  <si>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</si>
  <si>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</si>
  <si>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</si>
  <si>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</si>
  <si>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</si>
  <si>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</si>
  <si>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</si>
  <si>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</si>
  <si>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</si>
  <si>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</si>
  <si>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</si>
  <si>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</si>
  <si>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</si>
  <si>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</si>
  <si>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</si>
  <si>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</si>
  <si>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</si>
  <si>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</si>
  <si>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</si>
  <si>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</si>
  <si>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</si>
  <si>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</si>
  <si>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</si>
  <si>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</si>
  <si>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</si>
  <si>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</si>
  <si>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</si>
  <si>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</si>
  <si>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</si>
  <si>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</si>
  <si>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</si>
  <si>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</si>
  <si>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</si>
  <si>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</si>
  <si>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</si>
  <si>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</si>
  <si>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</si>
  <si>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</si>
  <si>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</si>
  <si>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</si>
  <si>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</si>
  <si>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</si>
  <si>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</si>
  <si>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</si>
  <si>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</si>
  <si>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</si>
  <si>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</si>
  <si>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</si>
  <si>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</si>
  <si>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</si>
  <si>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</si>
  <si>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</si>
  <si>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</si>
  <si>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</si>
  <si>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</si>
  <si>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</si>
  <si>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</si>
  <si>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</si>
  <si>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</si>
  <si>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</si>
  <si>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</si>
  <si>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</si>
  <si>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</si>
  <si>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</si>
  <si>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</si>
  <si>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</si>
  <si>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</si>
  <si>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</si>
  <si>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</si>
  <si>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</si>
  <si>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</si>
  <si>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</si>
  <si>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</si>
  <si>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</si>
  <si>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</si>
  <si>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</si>
  <si>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</si>
  <si>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</si>
  <si>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</si>
  <si>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</si>
  <si>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</si>
  <si>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</si>
  <si>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</si>
  <si>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</si>
  <si>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</si>
  <si>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</si>
  <si>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</si>
  <si>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</si>
  <si>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</si>
  <si>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</si>
  <si>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</si>
  <si>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</si>
  <si>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</si>
  <si>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</si>
  <si>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</si>
  <si>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</si>
  <si>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</si>
  <si>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</si>
  <si>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</si>
  <si>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</si>
  <si>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</si>
  <si>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</si>
  <si>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</si>
  <si>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</si>
  <si>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</si>
  <si>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</si>
  <si>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</si>
  <si>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</si>
  <si>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</si>
  <si>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</si>
  <si>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</si>
  <si>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</si>
  <si>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</si>
  <si>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</si>
  <si>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</si>
  <si>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</si>
  <si>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</si>
  <si>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</si>
  <si>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</si>
  <si>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</si>
  <si>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</si>
  <si>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</si>
  <si>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</si>
  <si>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</si>
  <si>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</si>
  <si>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</si>
  <si>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</si>
  <si>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</si>
  <si>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</si>
  <si>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</si>
  <si>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</si>
  <si>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</si>
  <si>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</si>
  <si>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</si>
  <si>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</si>
  <si>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</si>
  <si>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</si>
  <si>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</si>
  <si>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</si>
  <si>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</si>
  <si>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</si>
  <si>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</si>
  <si>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</si>
  <si>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</si>
  <si>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</si>
  <si>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</si>
  <si>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</si>
  <si>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</si>
  <si>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</si>
  <si>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</si>
  <si>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</si>
  <si>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</si>
  <si>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</si>
  <si>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</si>
  <si>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</si>
  <si>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</si>
  <si>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</si>
  <si>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</si>
  <si>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</si>
  <si>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</si>
  <si>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</si>
  <si>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</si>
  <si>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</si>
  <si>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</si>
  <si>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</si>
  <si>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</si>
  <si>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</si>
  <si>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</si>
  <si>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</si>
  <si>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</si>
  <si>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</si>
  <si>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</si>
  <si>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</si>
  <si>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</si>
  <si>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</si>
  <si>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</si>
  <si>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</si>
  <si>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</si>
  <si>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</si>
  <si>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</si>
  <si>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</si>
  <si>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</si>
  <si>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</si>
  <si>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</si>
  <si>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</si>
  <si>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</si>
  <si>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</si>
  <si>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</si>
  <si>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</si>
  <si>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</si>
  <si>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</si>
  <si>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</si>
  <si>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</si>
  <si>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</si>
  <si>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</si>
  <si>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</si>
  <si>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</si>
  <si>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</si>
  <si>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</si>
  <si>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</si>
  <si>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</si>
  <si>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</si>
  <si>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</si>
  <si>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</si>
  <si>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</si>
  <si>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</si>
  <si>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</si>
  <si>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</si>
  <si>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</si>
  <si>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</si>
  <si>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</si>
  <si>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</si>
  <si>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</si>
  <si>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</si>
  <si>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</si>
  <si>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</si>
  <si>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</si>
  <si>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</si>
  <si>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</si>
  <si>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</si>
  <si>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</si>
  <si>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</si>
  <si>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</si>
  <si>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</si>
  <si>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</si>
  <si>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</si>
  <si>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</si>
  <si>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</si>
  <si>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</si>
  <si>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</si>
  <si>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</si>
  <si>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</si>
  <si>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</si>
  <si>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</si>
  <si>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</si>
  <si>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</si>
  <si>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</si>
  <si>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</si>
  <si>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</si>
  <si>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</si>
  <si>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</si>
  <si>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</si>
  <si>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</si>
  <si>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</si>
  <si>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</si>
  <si>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</si>
  <si>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</si>
  <si>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</si>
  <si>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</si>
  <si>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</si>
  <si>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</si>
  <si>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</si>
  <si>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</si>
  <si>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</si>
  <si>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</si>
  <si>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</si>
  <si>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</si>
  <si>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</si>
  <si>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</si>
  <si>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</si>
  <si>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</si>
  <si>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</si>
  <si>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</si>
  <si>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</si>
  <si>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</si>
  <si>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</si>
  <si>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</si>
  <si>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</si>
  <si>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</si>
  <si>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</si>
  <si>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</si>
  <si>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</si>
  <si>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</si>
  <si>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</si>
  <si>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</si>
  <si>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</si>
  <si>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</si>
  <si>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</si>
  <si>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</si>
  <si>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</si>
  <si>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</si>
  <si>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</si>
  <si>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</si>
  <si>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</si>
  <si>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</si>
  <si>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</si>
  <si>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</si>
  <si>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</si>
  <si>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</si>
  <si>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</si>
  <si>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</si>
  <si>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</si>
  <si>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</si>
  <si>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</si>
  <si>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</si>
  <si>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</si>
  <si>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</si>
  <si>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</si>
  <si>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</si>
  <si>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</si>
  <si>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</si>
  <si>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</si>
  <si>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</si>
  <si>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</si>
  <si>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</si>
  <si>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</si>
  <si>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</si>
  <si>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</si>
  <si>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</si>
  <si>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</si>
  <si>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</si>
  <si>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</si>
  <si>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</si>
  <si>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</si>
  <si>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</si>
  <si>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</si>
  <si>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</si>
  <si>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</si>
  <si>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</si>
  <si>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</si>
  <si>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</si>
  <si>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</si>
  <si>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</si>
  <si>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</si>
  <si>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</si>
  <si>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</si>
  <si>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</si>
  <si>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</si>
  <si>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</si>
  <si>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</si>
  <si>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</si>
  <si>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</si>
  <si>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</si>
  <si>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</si>
  <si>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</si>
  <si>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</si>
  <si>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</si>
  <si>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</si>
  <si>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</si>
  <si>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</si>
  <si>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</si>
  <si>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</si>
  <si>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</si>
  <si>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</si>
  <si>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</si>
  <si>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</si>
  <si>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</si>
  <si>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</si>
  <si>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</si>
  <si>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</si>
  <si>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</si>
  <si>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</si>
  <si>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</si>
  <si>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</si>
  <si>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</si>
  <si>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</si>
  <si>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</si>
  <si>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</si>
  <si>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</si>
  <si>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</si>
  <si>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</si>
  <si>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</si>
  <si>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</si>
  <si>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</si>
  <si>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</si>
  <si>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</si>
  <si>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</si>
  <si>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</si>
  <si>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</si>
  <si>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</si>
  <si>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</si>
  <si>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</si>
  <si>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</si>
  <si>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</si>
  <si>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</si>
  <si>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</si>
  <si>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</si>
  <si>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</si>
  <si>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</si>
  <si>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</si>
  <si>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</si>
  <si>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</si>
  <si>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</si>
  <si>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</si>
  <si>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</si>
  <si>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</si>
  <si>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</si>
  <si>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</si>
  <si>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</si>
  <si>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</si>
  <si>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</si>
  <si>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</si>
  <si>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</si>
  <si>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</si>
  <si>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</si>
  <si>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</si>
  <si>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</si>
  <si>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</si>
  <si>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</si>
  <si>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</si>
  <si>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</si>
  <si>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</si>
  <si>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</si>
  <si>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</si>
  <si>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</si>
  <si>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</si>
  <si>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</si>
  <si>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</si>
  <si>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</si>
  <si>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</si>
  <si>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</si>
  <si>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</si>
  <si>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</si>
  <si>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</si>
  <si>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</si>
  <si>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</si>
  <si>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</si>
  <si>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</si>
  <si>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</si>
  <si>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</si>
  <si>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</si>
  <si>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</si>
  <si>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</si>
  <si>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</si>
  <si>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</si>
  <si>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</si>
  <si>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</si>
  <si>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</si>
  <si>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</si>
  <si>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</si>
  <si>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</si>
  <si>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</si>
  <si>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</si>
  <si>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</si>
  <si>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</si>
  <si>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</si>
  <si>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</si>
  <si>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</si>
  <si>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</si>
  <si>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</si>
  <si>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</si>
  <si>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</si>
  <si>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</si>
  <si>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</si>
  <si>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</si>
  <si>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</si>
  <si>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</si>
  <si>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</si>
  <si>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</si>
  <si>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</si>
  <si>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</si>
  <si>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</si>
  <si>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</si>
  <si>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</si>
  <si>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</si>
  <si>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</si>
  <si>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</si>
  <si>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</si>
  <si>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</si>
  <si>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</si>
  <si>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</si>
  <si>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</si>
  <si>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</si>
  <si>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</si>
  <si>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</si>
  <si>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</si>
  <si>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</si>
  <si>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</si>
  <si>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</si>
  <si>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</si>
  <si>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</si>
  <si>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</si>
  <si>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</si>
  <si>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</si>
  <si>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</si>
  <si>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</si>
  <si>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</si>
  <si>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</si>
  <si>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</si>
  <si>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</si>
  <si>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</si>
  <si>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</si>
  <si>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</si>
  <si>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</si>
  <si>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</si>
  <si>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</si>
  <si>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</si>
  <si>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</si>
  <si>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</si>
  <si>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</si>
  <si>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</si>
  <si>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</si>
  <si>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</si>
  <si>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</si>
  <si>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</si>
  <si>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</si>
  <si>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</si>
  <si>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</si>
  <si>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</si>
  <si>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</si>
  <si>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</si>
  <si>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</si>
  <si>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</si>
  <si>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</si>
  <si>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</si>
  <si>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</si>
  <si>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</si>
  <si>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</si>
  <si>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</si>
  <si>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</si>
  <si>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</si>
  <si>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</si>
  <si>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</si>
  <si>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</si>
  <si>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</si>
  <si>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</si>
  <si>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</si>
  <si>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</si>
  <si>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</si>
  <si>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</si>
  <si>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</si>
  <si>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</si>
  <si>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</si>
  <si>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</si>
  <si>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</si>
  <si>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</si>
  <si>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</si>
  <si>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</si>
  <si>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</si>
  <si>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</si>
  <si>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</si>
  <si>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</si>
  <si>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</si>
  <si>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</si>
  <si>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</si>
  <si>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</si>
  <si>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</si>
  <si>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</si>
  <si>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</si>
  <si>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</si>
  <si>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</si>
  <si>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</si>
  <si>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</si>
  <si>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</si>
  <si>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</si>
  <si>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</si>
  <si>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</si>
  <si>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</si>
  <si>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</si>
  <si>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</si>
  <si>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</si>
  <si>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</si>
  <si>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</si>
  <si>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</si>
  <si>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</si>
  <si>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</si>
  <si>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</si>
  <si>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</si>
  <si>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</si>
  <si>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</si>
  <si>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</si>
  <si>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</si>
  <si>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</si>
  <si>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</si>
  <si>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</si>
  <si>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</si>
  <si>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</si>
  <si>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</si>
  <si>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</si>
  <si>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</si>
  <si>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</si>
  <si>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</si>
  <si>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</si>
  <si>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</si>
  <si>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</si>
  <si>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</si>
  <si>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</si>
  <si>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</si>
  <si>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</si>
  <si>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</si>
  <si>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</si>
  <si>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</si>
  <si>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</si>
  <si>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</si>
  <si>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</si>
  <si>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</si>
  <si>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</si>
  <si>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</si>
  <si>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</si>
  <si>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</si>
  <si>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</si>
  <si>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</si>
  <si>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</si>
  <si>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</si>
  <si>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</si>
  <si>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</si>
  <si>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</si>
  <si>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</si>
  <si>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</si>
  <si>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</si>
  <si>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</si>
  <si>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</si>
  <si>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</si>
  <si>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</si>
  <si>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</si>
  <si>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</si>
  <si>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</si>
  <si>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</si>
  <si>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</si>
  <si>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</si>
  <si>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</si>
  <si>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</si>
  <si>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</si>
  <si>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</si>
  <si>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</si>
  <si>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</si>
  <si>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</si>
  <si>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</si>
  <si>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</si>
  <si>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</si>
  <si>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</si>
  <si>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</si>
  <si>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</si>
  <si>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</si>
  <si>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</si>
  <si>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</si>
  <si>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</si>
  <si>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</si>
  <si>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</si>
  <si>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</si>
  <si>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</si>
  <si>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</si>
  <si>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</si>
  <si>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</si>
  <si>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</si>
  <si>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</si>
  <si>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</si>
  <si>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</si>
  <si>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</si>
  <si>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</si>
  <si>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</si>
  <si>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</si>
  <si>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</si>
  <si>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</si>
  <si>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</si>
  <si>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</si>
  <si>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</si>
  <si>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</si>
  <si>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</si>
  <si>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</si>
  <si>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</si>
  <si>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</si>
  <si>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</si>
  <si>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</si>
  <si>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</si>
  <si>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</si>
  <si>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</si>
  <si>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</si>
  <si>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</si>
  <si>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</si>
  <si>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</si>
  <si>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</si>
  <si>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</si>
  <si>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</si>
  <si>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</si>
  <si>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</si>
  <si>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</si>
  <si>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</si>
  <si>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</si>
  <si>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</si>
  <si>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</si>
  <si>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</si>
  <si>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</si>
  <si>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</si>
  <si>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</si>
  <si>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</si>
  <si>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</si>
  <si>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</si>
  <si>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</si>
  <si>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</si>
  <si>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</si>
  <si>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</si>
  <si>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</si>
  <si>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</si>
  <si>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</si>
  <si>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</si>
  <si>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</si>
  <si>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</si>
  <si>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</si>
  <si>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</si>
  <si>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</si>
  <si>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</si>
  <si>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</si>
  <si>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</si>
  <si>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</si>
  <si>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</si>
  <si>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</si>
  <si>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</si>
  <si>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</si>
  <si>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</si>
  <si>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</si>
  <si>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</si>
  <si>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</si>
  <si>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</si>
  <si>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</si>
  <si>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</si>
  <si>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</si>
  <si>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</si>
  <si>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</si>
  <si>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</si>
  <si>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</si>
  <si>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</si>
  <si>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</si>
  <si>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</si>
  <si>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</si>
  <si>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</si>
  <si>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</si>
  <si>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</si>
  <si>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</si>
  <si>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</si>
  <si>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</si>
  <si>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</si>
  <si>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</si>
  <si>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</si>
  <si>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</si>
  <si>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</si>
  <si>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</si>
  <si>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</si>
  <si>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</si>
  <si>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</si>
  <si>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</si>
  <si>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</si>
  <si>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</si>
  <si>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</si>
  <si>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</si>
  <si>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</si>
  <si>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</si>
  <si>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</si>
  <si>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</si>
  <si>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</si>
  <si>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</si>
  <si>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</si>
  <si>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</si>
  <si>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</si>
  <si>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</si>
  <si>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</si>
  <si>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</si>
  <si>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</si>
  <si>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</si>
  <si>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</si>
  <si>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</si>
  <si>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</si>
  <si>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</si>
  <si>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</si>
  <si>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</si>
  <si>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</si>
  <si>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</si>
  <si>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</si>
  <si>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</si>
  <si>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</si>
  <si>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</si>
  <si>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</si>
  <si>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</si>
  <si>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</si>
  <si>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</si>
  <si>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</si>
  <si>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</si>
  <si>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</si>
  <si>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</si>
  <si>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</si>
  <si>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</si>
  <si>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</si>
  <si>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</si>
  <si>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</si>
  <si>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</si>
  <si>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</si>
  <si>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</si>
  <si>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</si>
  <si>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</si>
  <si>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</si>
  <si>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</si>
  <si>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</si>
  <si>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</si>
  <si>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</si>
  <si>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</si>
  <si>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</si>
  <si>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</si>
  <si>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</si>
  <si>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</si>
  <si>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</si>
  <si>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</si>
  <si>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</si>
  <si>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</si>
  <si>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</si>
  <si>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</si>
  <si>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</si>
  <si>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</si>
  <si>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</si>
  <si>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</si>
  <si>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</si>
  <si>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</si>
  <si>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</si>
  <si>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</si>
  <si>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</si>
  <si>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</si>
  <si>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</si>
  <si>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</si>
  <si>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</si>
  <si>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</si>
  <si>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</si>
  <si>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</si>
  <si>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</si>
  <si>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</si>
  <si>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</si>
  <si>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</si>
  <si>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</si>
  <si>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</si>
  <si>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</si>
  <si>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</si>
  <si>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</si>
  <si>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</si>
  <si>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</si>
  <si>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</si>
  <si>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</si>
  <si>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</si>
  <si>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</si>
  <si>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</si>
  <si>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</si>
  <si>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</si>
  <si>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</si>
  <si>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</si>
  <si>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</si>
  <si>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</si>
  <si>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</si>
  <si>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</si>
  <si>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</si>
  <si>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</si>
  <si>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</si>
  <si>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</si>
  <si>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</si>
  <si>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</si>
  <si>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</si>
  <si>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</si>
  <si>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</si>
  <si>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</si>
  <si>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</si>
  <si>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</si>
  <si>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</si>
  <si>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</si>
  <si>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</si>
  <si>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</si>
  <si>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</si>
  <si>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</si>
  <si>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</si>
  <si>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</si>
  <si>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</si>
  <si>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</si>
  <si>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</si>
  <si>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</si>
  <si>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</si>
  <si>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</si>
  <si>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</si>
  <si>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</si>
  <si>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</si>
  <si>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</si>
  <si>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</si>
  <si>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</si>
  <si>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</si>
  <si>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</si>
  <si>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</si>
  <si>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</si>
  <si>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</si>
  <si>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</si>
  <si>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</si>
  <si>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</si>
  <si>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</si>
  <si>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</si>
  <si>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</si>
  <si>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</si>
  <si>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</si>
  <si>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</si>
  <si>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</si>
  <si>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</si>
  <si>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</si>
  <si>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</si>
  <si>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</si>
  <si>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</si>
  <si>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</si>
  <si>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</si>
  <si>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</si>
  <si>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</si>
  <si>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</si>
  <si>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</si>
  <si>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</si>
  <si>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</si>
  <si>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</si>
  <si>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</si>
  <si>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</si>
  <si>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</si>
  <si>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</si>
  <si>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</si>
  <si>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</si>
  <si>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</si>
  <si>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</si>
  <si>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</si>
  <si>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</si>
  <si>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</si>
  <si>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</si>
  <si>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</si>
  <si>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</si>
  <si>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</si>
  <si>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</si>
  <si>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</si>
  <si>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</si>
  <si>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</si>
  <si>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</si>
  <si>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</si>
  <si>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</si>
  <si>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</si>
  <si>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</si>
  <si>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</si>
  <si>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</si>
  <si>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</si>
  <si>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</si>
  <si>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</si>
  <si>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</si>
  <si>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</si>
  <si>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</si>
  <si>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</si>
  <si>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</si>
  <si>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</si>
  <si>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</si>
  <si>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</si>
  <si>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</si>
  <si>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</si>
  <si>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</si>
  <si>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</si>
  <si>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</si>
  <si>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</si>
  <si>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</si>
  <si>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</si>
  <si>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</si>
  <si>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</si>
  <si>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</si>
  <si>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</si>
  <si>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</si>
  <si>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</si>
  <si>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</si>
  <si>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</si>
  <si>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</si>
  <si>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</si>
  <si>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</si>
  <si>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</si>
  <si>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</si>
  <si>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</si>
  <si>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</si>
  <si>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</si>
  <si>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</si>
  <si>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</si>
  <si>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</si>
  <si>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</si>
  <si>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</si>
  <si>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</si>
  <si>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</si>
  <si>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</si>
  <si>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</si>
  <si>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</si>
  <si>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</si>
  <si>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</si>
  <si>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</si>
  <si>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</si>
  <si>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</si>
  <si>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</si>
  <si>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</si>
  <si>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</si>
  <si>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</si>
  <si>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</si>
  <si>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</si>
  <si>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</si>
  <si>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</si>
  <si>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</si>
  <si>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</si>
  <si>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</si>
  <si>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</si>
  <si>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</si>
  <si>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</si>
  <si>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</si>
  <si>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</si>
  <si>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</si>
  <si>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</si>
  <si>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</si>
  <si>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</si>
  <si>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</si>
  <si>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</si>
  <si>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</si>
  <si>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</si>
  <si>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</si>
  <si>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</si>
  <si>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</si>
  <si>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</si>
  <si>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</si>
  <si>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</si>
  <si>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</si>
  <si>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</si>
  <si>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</si>
  <si>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</si>
  <si>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</si>
  <si>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</si>
  <si>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</si>
  <si>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</si>
  <si>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</si>
  <si>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</si>
  <si>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</si>
  <si>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</si>
  <si>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</si>
  <si>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</si>
  <si>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</si>
  <si>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</si>
  <si>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</si>
  <si>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</si>
  <si>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</si>
  <si>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</si>
  <si>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</si>
  <si>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</si>
  <si>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</si>
  <si>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</si>
  <si>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</si>
  <si>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</si>
  <si>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</si>
  <si>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</si>
  <si>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</si>
  <si>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</si>
  <si>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</si>
  <si>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</si>
  <si>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</si>
  <si>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</si>
  <si>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</si>
  <si>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</si>
  <si>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</si>
  <si>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</si>
  <si>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</si>
  <si>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</si>
  <si>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</si>
  <si>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</si>
  <si>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</si>
  <si>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</si>
  <si>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</si>
  <si>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</si>
  <si>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</si>
  <si>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</si>
  <si>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</si>
  <si>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</si>
  <si>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</si>
  <si>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</si>
  <si>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</si>
  <si>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</si>
  <si>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</si>
  <si>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</si>
  <si>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</si>
  <si>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</si>
  <si>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</si>
  <si>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</si>
  <si>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</si>
  <si>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</si>
  <si>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</si>
  <si>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</si>
  <si>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</si>
  <si>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</si>
  <si>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</si>
  <si>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</si>
  <si>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</si>
  <si>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</si>
  <si>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</si>
  <si>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</si>
  <si>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</si>
  <si>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</si>
  <si>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</si>
  <si>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</si>
  <si>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</si>
  <si>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</si>
  <si>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</si>
  <si>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</si>
  <si>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</si>
  <si>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</si>
  <si>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</si>
  <si>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</si>
  <si>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</si>
  <si>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</si>
  <si>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</si>
  <si>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</si>
  <si>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</si>
  <si>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</si>
  <si>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</si>
  <si>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</si>
  <si>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</si>
  <si>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</si>
  <si>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</si>
  <si>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</si>
  <si>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</si>
  <si>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</si>
  <si>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</si>
  <si>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</si>
  <si>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</si>
  <si>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</si>
  <si>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</si>
  <si>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</si>
  <si>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</si>
  <si>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</si>
  <si>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</si>
  <si>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</si>
  <si>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</si>
  <si>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</si>
  <si>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</si>
  <si>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</si>
  <si>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</si>
  <si>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</si>
  <si>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</si>
  <si>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</si>
  <si>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</si>
  <si>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</si>
  <si>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</si>
  <si>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</si>
  <si>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</si>
  <si>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</si>
  <si>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</si>
  <si>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</si>
  <si>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</si>
  <si>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</si>
  <si>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</si>
  <si>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</si>
  <si>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</si>
  <si>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</si>
  <si>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</si>
  <si>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</si>
  <si>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</si>
  <si>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</si>
  <si>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</si>
  <si>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</si>
  <si>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</si>
  <si>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</si>
  <si>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</si>
  <si>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</si>
  <si>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</si>
  <si>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</si>
  <si>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</si>
  <si>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</si>
  <si>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</si>
  <si>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</si>
  <si>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</si>
  <si>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</si>
  <si>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</si>
  <si>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</si>
  <si>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</si>
  <si>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</si>
  <si>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</si>
  <si>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</si>
  <si>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</si>
  <si>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</si>
  <si>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</si>
  <si>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</si>
  <si>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</si>
  <si>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</si>
  <si>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</si>
  <si>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</si>
  <si>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</si>
  <si>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</si>
  <si>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</si>
  <si>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</si>
  <si>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</si>
  <si>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</si>
  <si>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</si>
  <si>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</si>
  <si>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</si>
  <si>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</si>
  <si>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</si>
  <si>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</si>
  <si>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</si>
  <si>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</si>
  <si>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</si>
  <si>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</si>
  <si>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</si>
  <si>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</si>
  <si>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</si>
  <si>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</si>
  <si>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</si>
  <si>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</si>
  <si>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</si>
  <si>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</si>
  <si>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</si>
  <si>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</si>
  <si>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</si>
  <si>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</si>
  <si>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</si>
  <si>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</si>
  <si>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</si>
  <si>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</si>
  <si>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</si>
  <si>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</si>
  <si>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</si>
  <si>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</si>
  <si>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</si>
  <si>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</si>
  <si>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</si>
  <si>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</si>
  <si>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</si>
  <si>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</si>
  <si>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</si>
  <si>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</si>
  <si>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</si>
  <si>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</si>
  <si>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</si>
  <si>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</si>
  <si>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</si>
  <si>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</si>
  <si>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</si>
  <si>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</si>
  <si>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</si>
  <si>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</si>
  <si>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</si>
  <si>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</si>
  <si>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</si>
  <si>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</si>
  <si>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</si>
  <si>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</si>
  <si>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</si>
  <si>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</si>
  <si>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</si>
  <si>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</si>
  <si>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</si>
  <si>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</si>
  <si>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</si>
  <si>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</si>
  <si>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</si>
  <si>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</si>
  <si>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</si>
  <si>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</si>
  <si>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</si>
  <si>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</si>
  <si>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</si>
  <si>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</si>
  <si>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</si>
  <si>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</si>
  <si>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</si>
  <si>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</si>
  <si>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</si>
  <si>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</si>
  <si>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</si>
  <si>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</si>
  <si>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</si>
  <si>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</si>
  <si>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</si>
  <si>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</si>
  <si>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</si>
  <si>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</si>
  <si>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</si>
  <si>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</si>
  <si>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</si>
  <si>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</si>
  <si>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</si>
  <si>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</si>
  <si>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</si>
  <si>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</si>
  <si>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</si>
  <si>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</si>
  <si>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</si>
  <si>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</si>
  <si>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</si>
  <si>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</si>
  <si>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</si>
  <si>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</si>
  <si>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</si>
  <si>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</si>
  <si>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</si>
  <si>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</si>
  <si>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</si>
  <si>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</si>
  <si>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</si>
  <si>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</si>
  <si>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</si>
  <si>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</si>
  <si>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</si>
  <si>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</si>
  <si>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</si>
  <si>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</si>
  <si>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</si>
  <si>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</si>
  <si>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</si>
  <si>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</si>
  <si>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</si>
  <si>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</si>
  <si>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</si>
  <si>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</si>
  <si>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</si>
  <si>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</si>
  <si>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</si>
  <si>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</si>
  <si>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</si>
  <si>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</si>
  <si>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</si>
  <si>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</si>
  <si>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</si>
  <si>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</si>
  <si>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</si>
  <si>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</si>
  <si>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</si>
  <si>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</si>
  <si>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</si>
  <si>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</si>
  <si>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</si>
  <si>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</si>
  <si>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</si>
  <si>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</si>
  <si>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</si>
  <si>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</si>
  <si>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</si>
  <si>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</si>
  <si>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</si>
  <si>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</si>
  <si>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</si>
  <si>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</si>
  <si>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</si>
  <si>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</si>
  <si>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</si>
  <si>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</si>
  <si>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</si>
  <si>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</si>
  <si>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</si>
  <si>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</si>
  <si>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</si>
  <si>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</si>
  <si>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</si>
  <si>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</si>
  <si>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</si>
  <si>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</si>
  <si>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</si>
  <si>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</si>
  <si>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</si>
  <si>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</si>
  <si>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</si>
  <si>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</si>
  <si>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</si>
  <si>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</si>
  <si>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</si>
  <si>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</si>
  <si>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</si>
  <si>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</si>
  <si>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</si>
  <si>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</si>
  <si>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</si>
  <si>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</si>
  <si>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</si>
  <si>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</si>
  <si>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</si>
  <si>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</si>
  <si>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</si>
  <si>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</si>
  <si>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</si>
  <si>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</si>
  <si>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</si>
  <si>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</si>
  <si>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</si>
  <si>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</si>
  <si>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</si>
  <si>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</si>
  <si>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</si>
  <si>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</si>
  <si>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</si>
  <si>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</si>
  <si>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</si>
  <si>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</si>
  <si>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</si>
  <si>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</si>
  <si>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</si>
  <si>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</si>
  <si>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</si>
  <si>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</si>
  <si>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</si>
  <si>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</si>
  <si>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</si>
  <si>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</si>
  <si>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</si>
  <si>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</si>
  <si>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</si>
  <si>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</si>
  <si>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</si>
  <si>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</si>
  <si>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</si>
  <si>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</si>
  <si>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</si>
  <si>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</si>
  <si>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</si>
  <si>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</si>
  <si>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</si>
  <si>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</si>
  <si>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</si>
  <si>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</si>
  <si>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</si>
  <si>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</si>
  <si>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</si>
  <si>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</si>
  <si>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</si>
  <si>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</si>
  <si>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</si>
  <si>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</si>
  <si>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</si>
  <si>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</si>
  <si>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</si>
  <si>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</si>
  <si>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</si>
  <si>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</si>
  <si>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</si>
  <si>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</si>
  <si>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</si>
  <si>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</si>
  <si>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</si>
  <si>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</si>
  <si>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</si>
  <si>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</si>
  <si>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</si>
  <si>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</si>
  <si>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</si>
  <si>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</si>
  <si>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</si>
  <si>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</si>
  <si>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</si>
  <si>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</si>
  <si>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</si>
  <si>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</si>
  <si>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</si>
  <si>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</si>
  <si>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</si>
  <si>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</si>
  <si>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</si>
  <si>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</si>
  <si>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</si>
  <si>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</si>
  <si>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</si>
  <si>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</si>
  <si>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</si>
  <si>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</si>
  <si>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</si>
  <si>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</si>
  <si>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</si>
  <si>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</si>
  <si>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</si>
  <si>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</si>
  <si>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</si>
  <si>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</si>
  <si>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</si>
  <si>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</si>
  <si>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</si>
  <si>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</si>
  <si>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</si>
  <si>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</si>
  <si>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</si>
  <si>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</si>
  <si>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</si>
  <si>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</si>
  <si>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</si>
  <si>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</si>
  <si>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</si>
  <si>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</si>
  <si>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</si>
  <si>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</si>
  <si>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</si>
  <si>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</si>
  <si>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</si>
  <si>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</si>
  <si>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</si>
  <si>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</si>
  <si>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</si>
  <si>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</si>
  <si>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</si>
  <si>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</si>
  <si>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</si>
  <si>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</si>
  <si>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</si>
  <si>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</si>
  <si>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</si>
  <si>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</si>
  <si>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</si>
  <si>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</si>
  <si>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</si>
  <si>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</si>
  <si>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</si>
  <si>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</si>
  <si>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</si>
  <si>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</si>
  <si>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</si>
  <si>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</si>
  <si>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</si>
  <si>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</si>
  <si>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</si>
  <si>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</si>
  <si>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</si>
  <si>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</si>
  <si>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</si>
  <si>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</si>
  <si>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</si>
  <si>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</si>
  <si>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</si>
  <si>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</si>
  <si>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</si>
  <si>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</si>
  <si>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</si>
  <si>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</si>
  <si>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</si>
  <si>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</si>
  <si>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</si>
  <si>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</si>
  <si>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</si>
  <si>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</si>
  <si>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</si>
  <si>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</si>
  <si>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</si>
  <si>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</si>
  <si>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</si>
  <si>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</si>
  <si>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</si>
  <si>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</si>
  <si>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</si>
  <si>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</si>
  <si>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</si>
  <si>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</si>
  <si>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</si>
  <si>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</si>
  <si>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</si>
  <si>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</si>
  <si>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</si>
  <si>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</si>
  <si>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</si>
  <si>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</si>
  <si>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</si>
  <si>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</si>
  <si>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</si>
  <si>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</si>
  <si>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</si>
  <si>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</si>
  <si>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</si>
  <si>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</si>
  <si>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</si>
  <si>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</si>
  <si>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</si>
  <si>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</si>
  <si>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</si>
  <si>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</si>
  <si>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</si>
  <si>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</si>
  <si>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</si>
  <si>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</si>
  <si>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</si>
  <si>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</si>
  <si>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</si>
  <si>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</si>
  <si>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</si>
  <si>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</si>
  <si>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</si>
  <si>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</si>
  <si>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</si>
  <si>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</si>
  <si>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</si>
  <si>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</si>
  <si>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</si>
  <si>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</si>
  <si>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</si>
  <si>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</si>
  <si>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</si>
  <si>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</si>
  <si>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</si>
  <si>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</si>
  <si>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</si>
  <si>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</si>
  <si>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</si>
  <si>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</si>
  <si>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</si>
  <si>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</si>
  <si>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</si>
  <si>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</si>
  <si>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</si>
  <si>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</si>
  <si>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</si>
  <si>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</si>
  <si>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</si>
  <si>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</si>
  <si>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</si>
  <si>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</si>
  <si>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</si>
  <si>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</si>
  <si>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</si>
  <si>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</si>
  <si>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</si>
  <si>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</si>
  <si>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</si>
  <si>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</si>
  <si>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</si>
  <si>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</si>
  <si>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</si>
  <si>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</si>
  <si>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</si>
  <si>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</si>
  <si>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</si>
  <si>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</si>
  <si>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</si>
  <si>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</si>
  <si>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</si>
  <si>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</si>
  <si>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</si>
  <si>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</si>
  <si>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</si>
  <si>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</si>
  <si>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</si>
  <si>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</si>
  <si>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</si>
  <si>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</si>
  <si>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</si>
  <si>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</si>
  <si>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</si>
  <si>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</si>
  <si>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</si>
  <si>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</si>
  <si>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</si>
  <si>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</si>
  <si>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</si>
  <si>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</si>
  <si>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</si>
  <si>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</si>
  <si>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</si>
  <si>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</si>
  <si>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</si>
  <si>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</si>
  <si>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</si>
  <si>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</si>
  <si>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</si>
  <si>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</si>
  <si>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</si>
  <si>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</si>
  <si>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</si>
  <si>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</si>
  <si>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</si>
  <si>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</si>
  <si>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</si>
  <si>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</si>
  <si>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</si>
  <si>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</si>
  <si>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</si>
  <si>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</si>
  <si>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</si>
  <si>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</si>
  <si>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</si>
  <si>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</si>
  <si>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</si>
  <si>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</si>
  <si>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</si>
  <si>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</si>
  <si>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</si>
  <si>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</si>
  <si>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</si>
  <si>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</si>
  <si>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</si>
  <si>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</si>
  <si>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</si>
  <si>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</si>
  <si>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</si>
  <si>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</si>
  <si>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</si>
  <si>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</si>
  <si>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</si>
  <si>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</si>
  <si>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</si>
  <si>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</si>
  <si>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</si>
  <si>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</si>
  <si>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</si>
  <si>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</si>
  <si>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</si>
  <si>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</si>
  <si>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</si>
  <si>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</si>
  <si>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</si>
  <si>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</si>
  <si>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</si>
  <si>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</si>
  <si>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</si>
  <si>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</si>
  <si>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</si>
  <si>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</si>
  <si>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</si>
  <si>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</si>
  <si>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</si>
  <si>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</si>
  <si>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</si>
  <si>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</si>
  <si>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</si>
  <si>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</si>
  <si>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</si>
  <si>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</si>
  <si>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</si>
  <si>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</si>
  <si>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</si>
  <si>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</si>
  <si>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</si>
  <si>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</si>
  <si>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</si>
  <si>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</si>
  <si>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</si>
  <si>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</si>
  <si>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</si>
  <si>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</si>
  <si>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</si>
  <si>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</si>
  <si>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</si>
  <si>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</si>
  <si>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</si>
  <si>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</si>
  <si>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</si>
  <si>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</si>
  <si>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</si>
  <si>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</si>
  <si>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</si>
  <si>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</si>
  <si>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</si>
  <si>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</si>
  <si>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</si>
  <si>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</si>
  <si>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</si>
  <si>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</si>
  <si>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</si>
  <si>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</si>
  <si>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</si>
  <si>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</si>
  <si>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</si>
  <si>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</si>
  <si>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</si>
  <si>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</si>
  <si>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</si>
  <si>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</si>
  <si>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</si>
  <si>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</si>
  <si>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</si>
  <si>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</si>
  <si>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</si>
  <si>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</si>
  <si>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</si>
  <si>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</si>
  <si>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</si>
  <si>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</si>
  <si>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</si>
  <si>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</si>
  <si>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</si>
  <si>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</si>
  <si>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</si>
  <si>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</si>
  <si>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</si>
  <si>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</si>
  <si>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</si>
  <si>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</si>
  <si>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</si>
  <si>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</si>
  <si>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</si>
  <si>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</si>
  <si>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</si>
  <si>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</si>
  <si>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</si>
  <si>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</si>
  <si>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</si>
  <si>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</si>
  <si>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</si>
  <si>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</si>
  <si>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</si>
  <si>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</si>
  <si>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</si>
  <si>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</si>
  <si>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</si>
  <si>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</si>
  <si>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</si>
  <si>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</si>
  <si>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</si>
  <si>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</si>
  <si>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</si>
  <si>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</si>
  <si>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</si>
  <si>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</si>
  <si>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</si>
  <si>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</si>
  <si>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</si>
  <si>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</si>
  <si>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</si>
  <si>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</si>
  <si>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</si>
  <si>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</si>
  <si>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</si>
  <si>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</si>
  <si>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</si>
  <si>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</si>
  <si>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</si>
  <si>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</si>
  <si>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</si>
  <si>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</si>
  <si>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</si>
  <si>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</si>
  <si>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</si>
  <si>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</si>
  <si>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</si>
  <si>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</si>
  <si>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</si>
  <si>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</si>
  <si>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</si>
  <si>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</si>
  <si>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</si>
  <si>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</si>
  <si>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</si>
  <si>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</si>
  <si>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</si>
  <si>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</si>
  <si>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</si>
  <si>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</si>
  <si>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</si>
  <si>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</si>
  <si>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</si>
  <si>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</si>
  <si>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</si>
  <si>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</si>
  <si>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</si>
  <si>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</si>
  <si>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</si>
  <si>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</si>
  <si>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</si>
  <si>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</si>
  <si>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</si>
  <si>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</si>
  <si>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</si>
  <si>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</si>
  <si>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</si>
  <si>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</si>
  <si>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</si>
  <si>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</si>
  <si>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</si>
  <si>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</si>
  <si>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</si>
  <si>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</si>
  <si>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</si>
  <si>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</si>
  <si>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</si>
  <si>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</si>
  <si>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</si>
  <si>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</si>
  <si>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</si>
  <si>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</si>
  <si>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</si>
  <si>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</si>
  <si>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</si>
  <si>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</si>
  <si>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</si>
  <si>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</si>
  <si>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</si>
  <si>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</si>
  <si>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</si>
  <si>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</si>
  <si>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</si>
  <si>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</si>
  <si>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</si>
  <si>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</si>
  <si>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</si>
  <si>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</si>
  <si>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</si>
  <si>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</si>
  <si>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</si>
  <si>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</si>
  <si>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</si>
  <si>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</si>
  <si>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</si>
  <si>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</si>
  <si>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</si>
  <si>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</si>
  <si>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</si>
  <si>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</si>
  <si>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</si>
  <si>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</si>
  <si>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</si>
  <si>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</si>
  <si>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</si>
  <si>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</si>
  <si>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</si>
  <si>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</si>
  <si>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</si>
  <si>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</si>
  <si>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</si>
  <si>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</si>
  <si>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</si>
  <si>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</si>
  <si>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</si>
  <si>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</si>
  <si>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</si>
  <si>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</si>
  <si>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</si>
  <si>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</si>
  <si>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</si>
  <si>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</si>
  <si>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</si>
  <si>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</si>
  <si>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</si>
  <si>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</si>
  <si>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</si>
  <si>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</si>
  <si>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</si>
  <si>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</si>
  <si>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</si>
  <si>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</si>
  <si>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</si>
  <si>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</si>
  <si>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</si>
  <si>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</si>
  <si>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</si>
  <si>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</si>
  <si>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</si>
  <si>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</si>
  <si>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</si>
  <si>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</si>
  <si>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</si>
  <si>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</si>
  <si>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</si>
  <si>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</si>
  <si>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</si>
  <si>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</si>
  <si>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</si>
  <si>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</si>
  <si>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</si>
  <si>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</si>
  <si>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</si>
  <si>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</si>
  <si>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</si>
  <si>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</si>
  <si>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</si>
  <si>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</si>
  <si>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</si>
  <si>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</si>
  <si>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</si>
  <si>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</si>
  <si>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</si>
  <si>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</si>
  <si>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</si>
  <si>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</si>
  <si>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</si>
  <si>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</si>
  <si>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</si>
  <si>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</si>
  <si>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</si>
  <si>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</si>
  <si>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</si>
  <si>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</si>
  <si>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</si>
  <si>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</si>
  <si>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</si>
  <si>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</si>
  <si>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</si>
  <si>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</si>
  <si>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</si>
  <si>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</si>
  <si>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</si>
  <si>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</si>
  <si>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</si>
  <si>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</si>
  <si>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</si>
  <si>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</si>
  <si>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</si>
  <si>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</si>
  <si>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</si>
  <si>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</si>
  <si>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</si>
  <si>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</si>
  <si>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</si>
  <si>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</si>
  <si>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</si>
  <si>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</si>
  <si>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</si>
  <si>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</si>
  <si>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</si>
  <si>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</si>
  <si>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</si>
  <si>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</si>
  <si>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</si>
  <si>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</si>
  <si>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</si>
  <si>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</si>
  <si>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</si>
  <si>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</si>
  <si>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</si>
  <si>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</si>
  <si>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</si>
  <si>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</si>
  <si>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</si>
  <si>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</si>
  <si>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</si>
  <si>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</si>
  <si>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</si>
  <si>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</si>
  <si>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</si>
  <si>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</si>
  <si>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</si>
  <si>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</si>
  <si>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</si>
  <si>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</si>
  <si>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</si>
  <si>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</si>
  <si>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</si>
  <si>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</si>
  <si>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</si>
  <si>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</si>
  <si>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</si>
  <si>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</si>
  <si>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</si>
  <si>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</si>
  <si>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</si>
  <si>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</si>
  <si>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</si>
  <si>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</si>
  <si>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</si>
  <si>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</si>
  <si>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</si>
  <si>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</si>
  <si>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</si>
  <si>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</si>
  <si>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</si>
  <si>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</si>
  <si>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</si>
  <si>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</si>
  <si>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</si>
  <si>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</si>
  <si>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</si>
  <si>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</si>
  <si>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</si>
  <si>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</si>
  <si>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</si>
  <si>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</si>
  <si>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</si>
  <si>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</si>
  <si>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</si>
  <si>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</si>
  <si>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</si>
  <si>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</si>
  <si>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</si>
  <si>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</si>
  <si>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</si>
  <si>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</si>
  <si>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</si>
  <si>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</si>
  <si>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</si>
  <si>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</si>
  <si>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</si>
  <si>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</si>
  <si>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</si>
  <si>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</si>
  <si>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</si>
  <si>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</si>
  <si>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</si>
  <si>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</si>
  <si>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</si>
  <si>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</si>
  <si>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</si>
  <si>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</si>
  <si>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</si>
  <si>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</si>
  <si>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</si>
  <si>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</si>
  <si>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</si>
  <si>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</si>
  <si>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</si>
  <si>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</si>
  <si>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</si>
  <si>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</si>
  <si>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</si>
  <si>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</si>
  <si>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</si>
  <si>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</si>
  <si>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</si>
  <si>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</si>
  <si>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</si>
  <si>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</si>
  <si>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</si>
  <si>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</si>
  <si>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</si>
  <si>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</si>
  <si>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</si>
  <si>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</si>
  <si>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</si>
  <si>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</si>
  <si>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</si>
  <si>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</si>
  <si>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</si>
  <si>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</si>
  <si>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</si>
  <si>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</si>
  <si>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</si>
  <si>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</si>
  <si>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</si>
  <si>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</si>
  <si>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</si>
  <si>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</si>
  <si>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</si>
  <si>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</si>
  <si>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</si>
  <si>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</si>
  <si>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</si>
  <si>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</si>
  <si>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</si>
  <si>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</si>
  <si>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</si>
  <si>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</si>
  <si>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</si>
  <si>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</si>
  <si>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</si>
  <si>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</si>
  <si>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</si>
  <si>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</si>
  <si>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</si>
  <si>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</si>
  <si>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</si>
  <si>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</si>
  <si>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</si>
  <si>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</si>
  <si>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</si>
  <si>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</si>
  <si>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</si>
  <si>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</si>
  <si>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</si>
  <si>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</si>
  <si>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</si>
  <si>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</si>
  <si>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</si>
  <si>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</si>
  <si>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</si>
  <si>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</si>
  <si>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</si>
  <si>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</si>
  <si>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</si>
  <si>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</si>
  <si>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</si>
  <si>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</si>
  <si>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</si>
  <si>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</si>
  <si>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</si>
  <si>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</si>
  <si>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</si>
  <si>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</si>
  <si>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</si>
  <si>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</si>
  <si>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</si>
  <si>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</si>
  <si>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</si>
  <si>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</si>
  <si>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</si>
  <si>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</si>
  <si>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</si>
  <si>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</si>
  <si>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</si>
  <si>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</si>
  <si>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</si>
  <si>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</si>
  <si>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</si>
  <si>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</si>
  <si>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</si>
  <si>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</si>
  <si>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</si>
  <si>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</si>
  <si>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</si>
  <si>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</si>
  <si>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</si>
  <si>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</si>
  <si>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</si>
  <si>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</si>
  <si>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</si>
  <si>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</si>
  <si>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</si>
  <si>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</si>
  <si>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</si>
  <si>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</si>
  <si>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</si>
  <si>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</si>
  <si>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</si>
  <si>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</si>
  <si>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</si>
  <si>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</si>
  <si>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</si>
  <si>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</si>
  <si>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</si>
  <si>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</si>
  <si>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</si>
  <si>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</si>
  <si>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</si>
  <si>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</si>
  <si>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</si>
  <si>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</si>
  <si>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</si>
  <si>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</si>
  <si>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</si>
  <si>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</si>
  <si>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</si>
  <si>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</si>
  <si>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</si>
  <si>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</si>
  <si>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</si>
  <si>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</si>
  <si>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</si>
  <si>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</si>
  <si>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</si>
  <si>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</si>
  <si>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</si>
  <si>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</si>
  <si>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</si>
  <si>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</si>
  <si>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</si>
  <si>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</si>
  <si>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</si>
  <si>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</si>
  <si>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</si>
  <si>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</si>
  <si>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</si>
  <si>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</si>
  <si>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</si>
  <si>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</si>
  <si>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</si>
  <si>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</si>
  <si>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</si>
  <si>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</si>
  <si>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</si>
  <si>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</si>
  <si>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</si>
  <si>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</si>
  <si>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</si>
  <si>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</si>
  <si>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</si>
  <si>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</si>
  <si>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</si>
  <si>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</si>
  <si>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</si>
  <si>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</si>
  <si>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</si>
  <si>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</si>
  <si>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</si>
  <si>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</si>
  <si>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</si>
  <si>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</si>
  <si>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</si>
  <si>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</si>
  <si>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</si>
  <si>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</si>
  <si>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</si>
  <si>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</si>
  <si>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</si>
  <si>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</si>
  <si>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</si>
  <si>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</si>
  <si>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</si>
  <si>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</si>
  <si>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</si>
  <si>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</si>
  <si>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</si>
  <si>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</si>
  <si>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</si>
  <si>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</si>
  <si>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</si>
  <si>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</si>
  <si>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</si>
  <si>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</si>
  <si>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</si>
  <si>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</si>
  <si>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</si>
  <si>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</si>
  <si>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</si>
  <si>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</si>
  <si>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</si>
  <si>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</si>
  <si>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</si>
  <si>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</si>
  <si>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</si>
  <si>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</si>
  <si>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</si>
  <si>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</si>
  <si>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</si>
  <si>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</si>
  <si>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</si>
  <si>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</si>
  <si>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</si>
  <si>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</si>
  <si>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</si>
  <si>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</si>
  <si>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</si>
  <si>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</si>
  <si>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</si>
  <si>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</si>
  <si>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</si>
  <si>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</si>
  <si>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</si>
  <si>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</si>
  <si>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</si>
  <si>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</si>
  <si>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</si>
  <si>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</si>
  <si>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</si>
  <si>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</si>
  <si>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</si>
  <si>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</si>
  <si>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</si>
  <si>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</si>
  <si>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</si>
  <si>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</si>
  <si>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</si>
  <si>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</si>
  <si>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</si>
  <si>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</si>
  <si>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</si>
  <si>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</si>
  <si>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</si>
  <si>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</si>
  <si>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</si>
  <si>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</si>
  <si>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</si>
  <si>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</si>
  <si>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</si>
  <si>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</si>
  <si>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</si>
  <si>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</si>
  <si>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</si>
  <si>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</si>
  <si>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</si>
  <si>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</si>
  <si>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</si>
  <si>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</si>
  <si>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</si>
  <si>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</si>
  <si>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</si>
  <si>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</si>
  <si>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</si>
  <si>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</si>
  <si>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</si>
  <si>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</si>
  <si>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</si>
  <si>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</si>
  <si>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</si>
  <si>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</si>
  <si>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</si>
  <si>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</si>
  <si>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</si>
  <si>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</si>
  <si>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</si>
  <si>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</si>
  <si>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</si>
  <si>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</si>
  <si>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</si>
  <si>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</si>
  <si>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</si>
  <si>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</si>
  <si>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</si>
  <si>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</si>
  <si>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</si>
  <si>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</si>
  <si>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</si>
  <si>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</si>
  <si>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</si>
  <si>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</si>
  <si>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</si>
  <si>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</si>
  <si>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</si>
  <si>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</si>
  <si>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</si>
  <si>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</si>
  <si>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</si>
  <si>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</si>
  <si>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</si>
  <si>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</si>
  <si>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</si>
  <si>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</si>
  <si>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</si>
  <si>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</si>
  <si>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</si>
  <si>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</si>
  <si>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</si>
  <si>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</si>
  <si>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</si>
  <si>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</si>
  <si>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</si>
  <si>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</si>
  <si>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</si>
  <si>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</si>
  <si>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</si>
  <si>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</si>
  <si>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</si>
  <si>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</si>
  <si>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</si>
  <si>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</si>
  <si>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</si>
  <si>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</si>
  <si>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</si>
  <si>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</si>
  <si>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</si>
  <si>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</si>
  <si>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</si>
  <si>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</si>
  <si>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</si>
  <si>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</si>
  <si>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</si>
  <si>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</si>
  <si>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</si>
  <si>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</si>
  <si>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</si>
  <si>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</si>
  <si>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</si>
  <si>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</si>
  <si>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</si>
  <si>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</si>
  <si>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</si>
  <si>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</si>
  <si>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</si>
  <si>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</si>
  <si>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</si>
  <si>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</si>
  <si>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</si>
  <si>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</si>
  <si>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</si>
  <si>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</si>
  <si>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</si>
  <si>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</si>
  <si>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</si>
  <si>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</si>
  <si>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</si>
  <si>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</si>
  <si>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</si>
  <si>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</si>
  <si>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</si>
  <si>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</si>
  <si>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</si>
  <si>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</si>
  <si>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</si>
  <si>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</si>
  <si>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</si>
  <si>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</si>
  <si>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</si>
  <si>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</si>
  <si>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</si>
  <si>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</si>
  <si>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</si>
  <si>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</si>
  <si>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</si>
  <si>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</si>
  <si>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</si>
  <si>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</si>
  <si>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</si>
  <si>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</si>
  <si>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</si>
  <si>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</si>
  <si>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</si>
  <si>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</si>
  <si>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</si>
  <si>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</si>
  <si>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</si>
  <si>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</si>
  <si>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</si>
  <si>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</si>
  <si>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</si>
  <si>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</si>
  <si>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</si>
  <si>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</si>
  <si>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</si>
  <si>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</si>
  <si>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</si>
  <si>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</si>
  <si>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</si>
  <si>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</si>
  <si>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</si>
  <si>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</si>
  <si>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</si>
  <si>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</si>
  <si>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</si>
  <si>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</si>
  <si>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</si>
  <si>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</si>
  <si>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</si>
  <si>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</si>
  <si>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</si>
  <si>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</si>
  <si>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</si>
  <si>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</si>
  <si>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</si>
  <si>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</si>
  <si>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</si>
  <si>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</si>
  <si>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</si>
  <si>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</si>
  <si>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</si>
  <si>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</si>
  <si>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</si>
  <si>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</si>
  <si>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</si>
  <si>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</si>
  <si>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</si>
  <si>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</si>
  <si>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</si>
  <si>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</si>
  <si>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</si>
  <si>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</si>
  <si>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</si>
  <si>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</si>
  <si>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</si>
  <si>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</si>
  <si>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</si>
  <si>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</si>
  <si>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</si>
  <si>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</si>
  <si>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</si>
  <si>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</si>
  <si>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</si>
  <si>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</si>
  <si>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</si>
  <si>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</si>
  <si>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</si>
  <si>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</si>
  <si>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</si>
  <si>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</si>
  <si>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</si>
  <si>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</si>
  <si>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</si>
  <si>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</si>
  <si>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</si>
  <si>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</si>
  <si>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</si>
  <si>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</si>
  <si>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</si>
  <si>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</si>
  <si>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</si>
  <si>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</si>
  <si>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</si>
  <si>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</si>
  <si>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</si>
  <si>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</si>
  <si>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</si>
  <si>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</si>
  <si>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</si>
  <si>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</si>
  <si>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</si>
  <si>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</si>
  <si>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</si>
  <si>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</si>
  <si>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</si>
  <si>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</si>
  <si>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</si>
  <si>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</si>
  <si>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</si>
  <si>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</si>
  <si>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</si>
  <si>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</si>
  <si>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</si>
  <si>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</si>
  <si>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</si>
  <si>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</si>
  <si>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</si>
  <si>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</si>
  <si>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</si>
  <si>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</si>
  <si>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</si>
  <si>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</si>
  <si>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</si>
  <si>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</si>
  <si>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</si>
  <si>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</si>
  <si>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</si>
  <si>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</si>
  <si>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</si>
  <si>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</si>
  <si>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</si>
  <si>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</si>
  <si>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</si>
  <si>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</si>
  <si>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</si>
  <si>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</si>
  <si>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</si>
  <si>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</si>
  <si>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</si>
  <si>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</si>
  <si>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</si>
  <si>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</si>
  <si>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</si>
  <si>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</si>
  <si>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</si>
  <si>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</si>
  <si>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</si>
  <si>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</si>
  <si>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</si>
  <si>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</si>
  <si>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</si>
  <si>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</si>
  <si>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</si>
  <si>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</si>
  <si>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</si>
  <si>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</si>
  <si>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</si>
  <si>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</si>
  <si>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</si>
  <si>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</si>
  <si>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</si>
  <si>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</si>
  <si>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</si>
  <si>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</si>
  <si>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</si>
  <si>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</si>
  <si>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</si>
  <si>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</si>
  <si>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</si>
  <si>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</si>
  <si>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</si>
  <si>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</si>
  <si>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</si>
  <si>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</si>
  <si>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</si>
  <si>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</si>
  <si>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</si>
  <si>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</si>
  <si>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</si>
  <si>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</si>
  <si>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</si>
  <si>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</si>
  <si>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</si>
  <si>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</si>
  <si>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</si>
  <si>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</si>
  <si>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</si>
  <si>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</si>
  <si>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</si>
  <si>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</si>
  <si>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</si>
  <si>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</si>
  <si>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</si>
  <si>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</si>
  <si>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</si>
  <si>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</si>
  <si>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</si>
  <si>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</si>
  <si>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</si>
  <si>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</si>
  <si>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</si>
  <si>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</si>
  <si>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</si>
  <si>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</si>
  <si>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</si>
  <si>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</si>
  <si>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</si>
  <si>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</si>
  <si>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</si>
  <si>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</si>
  <si>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</si>
  <si>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</si>
  <si>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</si>
  <si>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</si>
  <si>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</si>
  <si>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</si>
  <si>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</si>
  <si>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</si>
  <si>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</si>
  <si>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</si>
  <si>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</si>
  <si>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</si>
  <si>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</si>
  <si>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</si>
  <si>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</si>
  <si>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</si>
  <si>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</si>
  <si>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</si>
  <si>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</si>
  <si>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</si>
  <si>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</si>
  <si>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</si>
  <si>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</si>
  <si>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</si>
  <si>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</si>
  <si>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</si>
  <si>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</si>
  <si>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</si>
  <si>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</si>
  <si>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</si>
  <si>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</si>
  <si>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</si>
  <si>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</si>
  <si>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</si>
  <si>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</si>
  <si>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</si>
  <si>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</si>
  <si>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</si>
  <si>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</si>
  <si>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</si>
  <si>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</si>
  <si>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</si>
  <si>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</si>
  <si>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</si>
  <si>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</si>
  <si>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</si>
  <si>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</si>
  <si>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</si>
  <si>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</si>
  <si>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</si>
  <si>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</si>
  <si>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</si>
  <si>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</si>
  <si>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</si>
  <si>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</si>
  <si>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</si>
  <si>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</si>
  <si>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</si>
  <si>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</si>
  <si>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</si>
  <si>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</si>
  <si>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</si>
  <si>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</si>
  <si>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</si>
  <si>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</si>
  <si>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</si>
  <si>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</si>
  <si>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</si>
  <si>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</si>
  <si>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</si>
  <si>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</si>
  <si>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</si>
  <si>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</si>
  <si>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</si>
  <si>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</si>
  <si>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</si>
  <si>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</si>
  <si>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</si>
  <si>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</si>
  <si>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</si>
  <si>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</si>
  <si>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</si>
  <si>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</si>
  <si>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</si>
  <si>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</si>
  <si>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</si>
  <si>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</si>
  <si>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</si>
  <si>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</si>
  <si>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</si>
  <si>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</si>
  <si>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</si>
  <si>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</si>
  <si>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</si>
  <si>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</si>
  <si>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</si>
  <si>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</si>
  <si>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</si>
  <si>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</si>
  <si>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</si>
  <si>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</si>
  <si>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</si>
  <si>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</si>
  <si>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</si>
  <si>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</si>
  <si>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</si>
  <si>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</si>
  <si>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</si>
  <si>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</si>
  <si>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</si>
  <si>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</si>
  <si>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</si>
  <si>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</si>
  <si>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</si>
  <si>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</si>
  <si>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</si>
  <si>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</si>
  <si>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</si>
  <si>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</si>
  <si>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</si>
  <si>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</si>
  <si>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</si>
  <si>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</si>
  <si>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</si>
  <si>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</si>
  <si>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</si>
  <si>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</si>
  <si>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</si>
  <si>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</si>
  <si>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</si>
  <si>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</si>
  <si>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</si>
  <si>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</si>
  <si>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</si>
  <si>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</si>
  <si>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</si>
  <si>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</si>
  <si>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</si>
  <si>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</si>
  <si>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</si>
  <si>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</si>
  <si>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</si>
  <si>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</si>
  <si>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</si>
  <si>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</si>
  <si>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</si>
  <si>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</si>
  <si>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</si>
  <si>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</si>
  <si>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</si>
  <si>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</si>
  <si>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</si>
  <si>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</si>
  <si>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</si>
  <si>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</si>
  <si>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</si>
  <si>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</si>
  <si>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</si>
  <si>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</si>
  <si>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</si>
  <si>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</si>
  <si>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</si>
  <si>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</si>
  <si>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</si>
  <si>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</si>
  <si>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</si>
  <si>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</si>
  <si>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</si>
  <si>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</si>
  <si>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</si>
  <si>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</si>
  <si>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</si>
  <si>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</si>
  <si>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</si>
  <si>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</si>
  <si>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</si>
  <si>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</si>
  <si>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</si>
  <si>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</si>
  <si>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</si>
  <si>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</si>
  <si>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</si>
  <si>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</si>
  <si>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</si>
  <si>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</si>
  <si>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</si>
  <si>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</si>
  <si>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</si>
  <si>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</si>
  <si>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</si>
  <si>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</si>
  <si>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</si>
  <si>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</si>
  <si>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</si>
  <si>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</si>
  <si>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</si>
  <si>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</si>
  <si>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</si>
  <si>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</si>
  <si>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</si>
  <si>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</si>
  <si>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</si>
  <si>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</si>
  <si>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</si>
  <si>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</si>
  <si>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</si>
  <si>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</si>
  <si>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</si>
  <si>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</si>
  <si>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</si>
  <si>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</si>
  <si>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</si>
  <si>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</si>
  <si>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</si>
  <si>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</si>
  <si>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</si>
  <si>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</si>
  <si>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</si>
  <si>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</si>
  <si>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</si>
  <si>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</si>
  <si>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</si>
  <si>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</si>
  <si>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</si>
  <si>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</si>
  <si>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</si>
  <si>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</si>
  <si>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</si>
  <si>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</si>
  <si>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</si>
  <si>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</si>
  <si>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</si>
  <si>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</si>
  <si>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</si>
  <si>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</si>
  <si>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</si>
  <si>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</si>
  <si>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</si>
  <si>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</si>
  <si>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</si>
  <si>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</si>
  <si>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</si>
  <si>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</si>
  <si>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</si>
  <si>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</si>
  <si>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</si>
  <si>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</si>
  <si>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</si>
  <si>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</si>
  <si>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</si>
  <si>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</si>
  <si>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</si>
  <si>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</si>
  <si>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</si>
  <si>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</si>
  <si>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</si>
  <si>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</si>
  <si>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</si>
  <si>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</si>
  <si>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</si>
  <si>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</si>
  <si>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</si>
  <si>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</si>
  <si>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</si>
  <si>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</si>
  <si>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</si>
  <si>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</si>
  <si>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</si>
  <si>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</si>
  <si>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</si>
  <si>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</si>
  <si>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</si>
  <si>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</si>
  <si>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</si>
  <si>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</si>
  <si>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</si>
  <si>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</si>
  <si>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</si>
  <si>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</si>
  <si>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</si>
  <si>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</si>
  <si>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</si>
  <si>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</si>
  <si>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</si>
  <si>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</si>
  <si>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</si>
  <si>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</si>
  <si>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</si>
  <si>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</si>
  <si>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</si>
  <si>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</si>
  <si>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</si>
  <si>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</si>
  <si>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</si>
  <si>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</si>
  <si>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</si>
  <si>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</si>
  <si>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</si>
  <si>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</si>
  <si>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</si>
  <si>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</si>
  <si>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</si>
  <si>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</si>
  <si>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</si>
  <si>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</si>
  <si>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</si>
  <si>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</si>
  <si>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</si>
  <si>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</si>
  <si>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</si>
  <si>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</si>
  <si>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</si>
  <si>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</si>
  <si>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</si>
  <si>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</si>
  <si>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</si>
  <si>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</si>
  <si>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</si>
  <si>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</si>
  <si>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</si>
  <si>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</si>
  <si>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</si>
  <si>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</si>
  <si>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</si>
  <si>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</si>
  <si>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</si>
  <si>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</si>
  <si>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</si>
  <si>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</si>
  <si>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</si>
  <si>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</si>
  <si>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</si>
  <si>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</si>
  <si>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</si>
  <si>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</si>
  <si>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</si>
  <si>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</si>
  <si>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</si>
  <si>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</si>
  <si>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</si>
  <si>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</si>
  <si>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</si>
  <si>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</si>
  <si>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</si>
  <si>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</si>
  <si>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</si>
  <si>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</si>
  <si>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</si>
  <si>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</si>
  <si>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</si>
  <si>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</si>
  <si>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</si>
  <si>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</si>
  <si>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</si>
  <si>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</si>
  <si>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</si>
  <si>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</si>
  <si>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</si>
  <si>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</si>
  <si>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</si>
  <si>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</si>
  <si>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</si>
  <si>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</si>
  <si>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</si>
  <si>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</si>
  <si>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</si>
  <si>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</si>
  <si>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</si>
  <si>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</si>
  <si>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</si>
  <si>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</si>
  <si>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</si>
  <si>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</si>
  <si>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</si>
  <si>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</si>
  <si>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</si>
  <si>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</si>
  <si>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</si>
  <si>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</si>
  <si>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</si>
  <si>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</si>
  <si>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</si>
  <si>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</si>
  <si>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</si>
  <si>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</si>
  <si>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</si>
  <si>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</si>
  <si>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</si>
  <si>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</si>
  <si>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</si>
  <si>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</si>
  <si>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</si>
  <si>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</si>
  <si>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</si>
  <si>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</si>
  <si>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</si>
  <si>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</si>
  <si>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</si>
  <si>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</si>
  <si>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</si>
  <si>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</si>
  <si>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</si>
  <si>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</si>
  <si>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</si>
  <si>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</si>
  <si>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</si>
  <si>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</si>
  <si>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</si>
  <si>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</si>
  <si>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</si>
  <si>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</si>
  <si>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</si>
  <si>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</si>
  <si>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</si>
  <si>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</si>
  <si>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</si>
  <si>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</si>
  <si>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</si>
  <si>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</si>
  <si>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</si>
  <si>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</si>
  <si>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</si>
  <si>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</si>
  <si>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</si>
  <si>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</si>
  <si>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</si>
  <si>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</si>
  <si>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</si>
  <si>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</si>
  <si>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</si>
  <si>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</si>
  <si>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</si>
  <si>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</si>
  <si>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</si>
  <si>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</si>
  <si>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</si>
  <si>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</si>
  <si>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</si>
  <si>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</si>
  <si>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</si>
  <si>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</si>
  <si>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</si>
  <si>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</si>
  <si>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</si>
  <si>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</si>
  <si>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</si>
  <si>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</si>
  <si>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</si>
  <si>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</si>
  <si>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</si>
  <si>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</si>
  <si>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</si>
  <si>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</si>
  <si>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</si>
  <si>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</si>
  <si>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</si>
  <si>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</si>
  <si>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</si>
  <si>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</si>
  <si>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</si>
  <si>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</si>
  <si>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</si>
  <si>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</si>
  <si>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</si>
  <si>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</si>
  <si>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</si>
  <si>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</si>
  <si>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</si>
  <si>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</si>
  <si>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</si>
  <si>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</si>
  <si>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</si>
  <si>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</si>
  <si>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</si>
  <si>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</si>
  <si>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</si>
  <si>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</si>
  <si>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</si>
  <si>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</si>
  <si>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</si>
  <si>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</si>
  <si>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</si>
  <si>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</si>
  <si>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</si>
  <si>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</si>
  <si>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</si>
  <si>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</si>
  <si>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</si>
  <si>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</si>
  <si>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</si>
  <si>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</si>
  <si>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</si>
  <si>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</si>
  <si>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</si>
  <si>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</si>
  <si>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</si>
  <si>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</si>
  <si>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</si>
  <si>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</si>
  <si>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</si>
  <si>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</si>
  <si>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</si>
  <si>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</si>
  <si>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</si>
  <si>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</si>
  <si>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</si>
  <si>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</si>
  <si>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</si>
  <si>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</si>
  <si>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</si>
  <si>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</si>
  <si>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</si>
  <si>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</si>
  <si>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</si>
  <si>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</si>
  <si>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</si>
  <si>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</si>
  <si>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</si>
  <si>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</si>
  <si>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</si>
  <si>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</si>
  <si>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</si>
  <si>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</si>
  <si>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</si>
  <si>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</si>
  <si>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</si>
  <si>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</si>
  <si>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</si>
  <si>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</si>
  <si>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</si>
  <si>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</si>
  <si>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</si>
  <si>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</si>
  <si>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</si>
  <si>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</si>
  <si>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</si>
  <si>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</si>
  <si>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</si>
  <si>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</si>
  <si>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</si>
  <si>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</si>
  <si>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</si>
  <si>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</si>
  <si>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</si>
  <si>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</si>
  <si>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</si>
  <si>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</si>
  <si>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</si>
  <si>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</si>
  <si>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</si>
  <si>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</si>
  <si>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</si>
  <si>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</si>
  <si>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</si>
  <si>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</si>
  <si>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</si>
  <si>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</si>
  <si>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</si>
  <si>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</si>
  <si>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</si>
  <si>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</si>
  <si>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</si>
  <si>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</si>
  <si>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</si>
  <si>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</si>
  <si>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</si>
  <si>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</si>
  <si>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</si>
  <si>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</si>
  <si>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</si>
  <si>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</si>
  <si>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</si>
  <si>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</si>
  <si>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</si>
  <si>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</si>
  <si>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</si>
  <si>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</si>
  <si>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</si>
  <si>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</si>
  <si>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</si>
  <si>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</si>
  <si>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</si>
  <si>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</si>
  <si>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</si>
  <si>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</si>
  <si>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</si>
  <si>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</si>
  <si>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</si>
  <si>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</si>
  <si>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</si>
  <si>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</si>
  <si>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</si>
  <si>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</si>
  <si>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</si>
  <si>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</si>
  <si>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</si>
  <si>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</si>
  <si>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</si>
  <si>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</si>
  <si>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</si>
  <si>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</si>
  <si>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</si>
  <si>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</si>
  <si>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</si>
  <si>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</si>
  <si>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</si>
  <si>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</si>
  <si>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</si>
  <si>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</si>
  <si>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</si>
  <si>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</si>
  <si>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</si>
  <si>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</si>
  <si>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</si>
  <si>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</si>
  <si>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</si>
  <si>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</si>
  <si>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</si>
  <si>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</si>
  <si>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</si>
  <si>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</si>
  <si>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</si>
  <si>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</si>
  <si>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</si>
  <si>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</si>
  <si>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</si>
  <si>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</si>
  <si>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</si>
  <si>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</si>
  <si>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</si>
  <si>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</si>
  <si>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</si>
  <si>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</si>
  <si>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</si>
  <si>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</si>
  <si>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</si>
  <si>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</si>
  <si>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</si>
  <si>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</si>
  <si>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</si>
  <si>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</si>
  <si>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</si>
  <si>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</si>
  <si>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</si>
  <si>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</si>
  <si>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</si>
  <si>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</si>
  <si>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</si>
  <si>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</si>
  <si>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</si>
  <si>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</si>
  <si>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</si>
  <si>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</si>
  <si>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</si>
  <si>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</si>
  <si>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</si>
  <si>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</si>
  <si>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</si>
  <si>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</si>
  <si>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</si>
  <si>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</si>
  <si>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</si>
  <si>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</si>
  <si>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</si>
  <si>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</si>
  <si>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</si>
  <si>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</si>
  <si>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</si>
  <si>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</si>
  <si>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</si>
  <si>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</si>
  <si>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</si>
  <si>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</si>
  <si>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</si>
  <si>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</si>
  <si>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</si>
  <si>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</si>
  <si>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</si>
  <si>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</si>
  <si>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</si>
  <si>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</si>
  <si>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</si>
  <si>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</si>
  <si>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</si>
  <si>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</si>
  <si>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</si>
  <si>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</si>
  <si>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</si>
  <si>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</si>
  <si>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</si>
  <si>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</si>
  <si>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</si>
  <si>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</si>
  <si>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</si>
  <si>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</si>
  <si>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</si>
  <si>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</si>
  <si>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</si>
  <si>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</si>
  <si>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</si>
  <si>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</si>
  <si>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</si>
  <si>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</si>
  <si>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</si>
  <si>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</si>
  <si>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</si>
  <si>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</si>
  <si>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</si>
  <si>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</si>
  <si>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</si>
  <si>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</si>
  <si>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</si>
  <si>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</si>
  <si>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</si>
  <si>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</si>
  <si>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</si>
  <si>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</si>
  <si>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</si>
  <si>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</si>
  <si>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</si>
  <si>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</si>
  <si>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</si>
  <si>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</si>
  <si>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</si>
  <si>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</si>
  <si>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</si>
  <si>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</si>
  <si>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</si>
  <si>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</si>
  <si>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</si>
  <si>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</si>
  <si>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</si>
  <si>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</si>
  <si>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</si>
  <si>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</si>
  <si>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</si>
  <si>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</si>
  <si>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</si>
  <si>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</si>
  <si>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</si>
  <si>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</si>
  <si>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</si>
  <si>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</si>
  <si>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</si>
  <si>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</si>
  <si>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</si>
  <si>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</si>
  <si>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</si>
  <si>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</si>
  <si>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</si>
  <si>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</si>
  <si>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</si>
  <si>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</si>
  <si>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</si>
  <si>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</si>
  <si>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</si>
  <si>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</si>
  <si>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</si>
  <si>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</si>
  <si>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</si>
  <si>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</si>
  <si>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</si>
  <si>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</si>
  <si>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</si>
  <si>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</si>
  <si>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</si>
  <si>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</si>
  <si>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</si>
  <si>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</si>
  <si>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</si>
  <si>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</si>
  <si>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</si>
  <si>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</si>
  <si>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</si>
  <si>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</si>
  <si>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</si>
  <si>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</si>
  <si>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</si>
  <si>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</si>
  <si>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</si>
  <si>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</si>
  <si>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</si>
  <si>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</si>
  <si>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</si>
  <si>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</si>
  <si>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</si>
  <si>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</si>
  <si>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</si>
  <si>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</si>
  <si>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</si>
  <si>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</si>
  <si>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</si>
  <si>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</si>
  <si>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</si>
  <si>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</si>
  <si>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</si>
  <si>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</si>
  <si>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</si>
  <si>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</si>
  <si>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</si>
  <si>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</si>
  <si>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</si>
  <si>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</si>
  <si>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</si>
  <si>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</si>
  <si>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</si>
  <si>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</si>
  <si>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</si>
  <si>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</si>
  <si>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</si>
  <si>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</si>
  <si>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</si>
  <si>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</si>
  <si>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</si>
  <si>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</si>
  <si>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</si>
  <si>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</si>
  <si>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</si>
  <si>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</si>
  <si>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</si>
  <si>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</si>
  <si>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</si>
  <si>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</si>
  <si>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</si>
  <si>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</si>
  <si>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</si>
  <si>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</si>
  <si>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</si>
  <si>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</si>
  <si>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</si>
  <si>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</si>
  <si>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</si>
  <si>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</si>
  <si>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</si>
  <si>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</si>
  <si>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</si>
  <si>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</si>
  <si>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</si>
  <si>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</si>
  <si>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</si>
  <si>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</si>
  <si>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</si>
  <si>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</si>
  <si>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</si>
  <si>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</si>
  <si>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</si>
  <si>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</si>
  <si>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</si>
  <si>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</si>
  <si>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</si>
  <si>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</si>
  <si>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</si>
  <si>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</si>
  <si>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</si>
  <si>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</si>
  <si>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</si>
  <si>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</si>
  <si>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</si>
  <si>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</si>
  <si>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</si>
  <si>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</si>
  <si>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</si>
  <si>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</si>
  <si>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</si>
  <si>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</si>
  <si>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</si>
  <si>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</si>
  <si>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</si>
  <si>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</si>
  <si>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</si>
  <si>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</si>
  <si>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</si>
  <si>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</si>
  <si>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</si>
  <si>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</si>
  <si>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</si>
  <si>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</si>
  <si>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</si>
  <si>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</si>
  <si>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</si>
  <si>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</si>
  <si>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</si>
  <si>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</si>
  <si>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</si>
  <si>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</si>
  <si>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</si>
  <si>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</si>
  <si>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</si>
  <si>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</si>
  <si>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</si>
  <si>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</si>
  <si>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</si>
  <si>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</si>
  <si>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</si>
  <si>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</si>
  <si>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</si>
  <si>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</si>
  <si>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</si>
  <si>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</si>
  <si>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</si>
  <si>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</si>
  <si>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</si>
  <si>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</si>
  <si>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</si>
  <si>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</si>
  <si>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</si>
  <si>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</si>
  <si>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</si>
  <si>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</si>
  <si>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</si>
  <si>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</si>
  <si>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</si>
  <si>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</si>
  <si>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</si>
  <si>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</si>
  <si>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</si>
  <si>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</si>
  <si>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</si>
  <si>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</si>
  <si>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</si>
  <si>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</si>
  <si>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</si>
  <si>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</si>
  <si>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</si>
  <si>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</si>
  <si>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</si>
  <si>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</si>
  <si>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</si>
  <si>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</si>
  <si>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</si>
  <si>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</si>
  <si>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</si>
  <si>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</si>
  <si>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</si>
  <si>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</si>
  <si>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</si>
  <si>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</si>
  <si>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</si>
  <si>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</si>
  <si>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</si>
  <si>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</si>
  <si>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</si>
  <si>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</si>
  <si>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</si>
  <si>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</si>
  <si>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</si>
  <si>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</si>
  <si>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</si>
  <si>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</si>
  <si>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</si>
  <si>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</si>
  <si>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</si>
  <si>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</si>
  <si>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</si>
  <si>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</si>
  <si>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</si>
  <si>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</si>
  <si>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</si>
  <si>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</si>
  <si>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</si>
  <si>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</si>
  <si>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</si>
  <si>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</si>
  <si>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</si>
  <si>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</si>
  <si>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</si>
  <si>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</si>
  <si>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</si>
  <si>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</si>
  <si>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</si>
  <si>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</si>
  <si>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</si>
  <si>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</si>
  <si>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</si>
  <si>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</si>
  <si>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</si>
  <si>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</si>
  <si>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</si>
  <si>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</si>
  <si>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</si>
  <si>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</si>
  <si>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</si>
  <si>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</si>
  <si>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</si>
  <si>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</si>
  <si>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</si>
  <si>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</si>
  <si>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</si>
  <si>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</si>
  <si>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</si>
  <si>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</si>
  <si>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</si>
  <si>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</si>
  <si>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</si>
  <si>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</si>
  <si>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</si>
  <si>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</si>
  <si>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</si>
  <si>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</si>
  <si>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</si>
  <si>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</si>
  <si>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</si>
  <si>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</si>
  <si>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</si>
  <si>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</si>
  <si>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</si>
  <si>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</si>
  <si>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</si>
  <si>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</si>
  <si>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</si>
  <si>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</si>
  <si>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</si>
  <si>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</si>
  <si>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</si>
  <si>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</si>
  <si>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</si>
  <si>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</si>
  <si>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</si>
  <si>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</si>
  <si>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</si>
  <si>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</si>
  <si>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</si>
  <si>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</si>
  <si>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</si>
  <si>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</si>
  <si>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</si>
  <si>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</si>
  <si>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</si>
  <si>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</si>
  <si>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</si>
  <si>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</si>
  <si>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</si>
  <si>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</si>
  <si>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</si>
  <si>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</si>
  <si>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</si>
  <si>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</si>
  <si>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</si>
  <si>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</si>
  <si>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</si>
  <si>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</si>
  <si>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</si>
  <si>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</si>
  <si>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</si>
  <si>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</si>
  <si>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</si>
  <si>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</si>
  <si>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</si>
  <si>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</si>
  <si>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</si>
  <si>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</si>
  <si>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</si>
  <si>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</si>
  <si>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</si>
  <si>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</si>
  <si>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</si>
  <si>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</si>
  <si>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</si>
  <si>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</si>
  <si>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</si>
  <si>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</si>
  <si>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</si>
  <si>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</si>
  <si>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</si>
  <si>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</si>
  <si>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</si>
  <si>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</si>
  <si>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</si>
  <si>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</si>
  <si>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</si>
  <si>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</si>
  <si>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</si>
  <si>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</si>
  <si>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</si>
  <si>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</si>
  <si>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</si>
  <si>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</si>
  <si>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</si>
  <si>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</si>
  <si>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</si>
  <si>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</si>
  <si>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</si>
  <si>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</si>
  <si>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</si>
  <si>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</si>
  <si>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</si>
  <si>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</si>
  <si>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</si>
  <si>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</si>
  <si>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</si>
  <si>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</si>
  <si>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</si>
  <si>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</si>
  <si>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</si>
  <si>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</si>
  <si>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</si>
  <si>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</si>
  <si>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</si>
  <si>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</si>
  <si>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</si>
  <si>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</si>
  <si>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</si>
  <si>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</si>
  <si>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</si>
  <si>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</si>
  <si>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</si>
  <si>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</si>
  <si>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</si>
  <si>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</si>
  <si>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</si>
  <si>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</si>
  <si>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</si>
  <si>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</si>
  <si>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</si>
  <si>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</si>
  <si>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</si>
  <si>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</si>
  <si>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</si>
  <si>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</si>
  <si>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</si>
  <si>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</si>
  <si>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</si>
  <si>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</si>
  <si>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</si>
  <si>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</si>
  <si>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</si>
  <si>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</si>
  <si>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</si>
  <si>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</si>
  <si>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</si>
  <si>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</si>
  <si>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</si>
  <si>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</si>
  <si>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</si>
  <si>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</si>
  <si>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</si>
  <si>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</si>
  <si>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</si>
  <si>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</si>
  <si>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</si>
  <si>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</si>
  <si>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</si>
  <si>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</si>
  <si>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</si>
  <si>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</si>
  <si>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</si>
  <si>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</si>
  <si>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</si>
  <si>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</si>
  <si>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</si>
  <si>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</si>
  <si>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</si>
  <si>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</si>
  <si>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</si>
  <si>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</si>
  <si>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</si>
  <si>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</si>
  <si>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</si>
  <si>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</si>
  <si>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</si>
  <si>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</si>
  <si>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</si>
  <si>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</si>
  <si>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</si>
  <si>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</si>
  <si>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</si>
  <si>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</si>
  <si>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</si>
  <si>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</si>
  <si>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</si>
  <si>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</si>
  <si>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</si>
  <si>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</si>
  <si>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</si>
  <si>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</si>
  <si>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</si>
  <si>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</si>
  <si>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</si>
  <si>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</si>
  <si>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</si>
  <si>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</si>
  <si>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</si>
  <si>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</si>
  <si>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</si>
  <si>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</si>
  <si>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</si>
  <si>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</si>
  <si>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</si>
  <si>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</si>
  <si>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</si>
  <si>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</si>
  <si>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</si>
  <si>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</si>
  <si>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</si>
  <si>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</si>
  <si>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</si>
  <si>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</si>
  <si>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</si>
  <si>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</si>
  <si>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</si>
  <si>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</si>
  <si>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</si>
  <si>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</si>
  <si>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</si>
  <si>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</si>
  <si>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</si>
  <si>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</si>
  <si>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</si>
  <si>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</si>
  <si>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</si>
  <si>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</si>
  <si>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</si>
  <si>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</si>
  <si>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</si>
  <si>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</si>
  <si>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</si>
  <si>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</si>
  <si>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</si>
  <si>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</si>
  <si>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</si>
  <si>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</si>
  <si>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</si>
  <si>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</si>
  <si>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</si>
  <si>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</si>
  <si>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</si>
  <si>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</si>
  <si>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</si>
  <si>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</si>
  <si>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</si>
  <si>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</si>
  <si>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</si>
  <si>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</si>
  <si>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</si>
  <si>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</si>
  <si>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</si>
  <si>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</si>
  <si>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</si>
  <si>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</si>
  <si>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</si>
  <si>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</si>
  <si>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</si>
  <si>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</si>
  <si>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</si>
  <si>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</si>
  <si>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</si>
  <si>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</si>
  <si>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</si>
  <si>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</si>
  <si>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</si>
  <si>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</si>
  <si>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</si>
  <si>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</si>
  <si>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</si>
  <si>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</si>
  <si>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</si>
  <si>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</si>
  <si>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</si>
  <si>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</si>
  <si>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</si>
  <si>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</si>
  <si>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</si>
  <si>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</si>
  <si>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</si>
  <si>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</si>
  <si>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</si>
  <si>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</si>
  <si>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</si>
  <si>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</si>
  <si>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</si>
  <si>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</si>
  <si>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</si>
  <si>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</si>
  <si>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</si>
  <si>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</si>
  <si>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</si>
  <si>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</si>
  <si>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</si>
  <si>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</si>
  <si>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</si>
  <si>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</si>
  <si>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</si>
  <si>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</si>
  <si>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</si>
  <si>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</si>
  <si>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</si>
  <si>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</si>
  <si>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</si>
  <si>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</si>
  <si>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</si>
  <si>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</si>
  <si>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</si>
  <si>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</si>
  <si>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</si>
  <si>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</si>
  <si>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</si>
  <si>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</si>
  <si>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</si>
  <si>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</si>
  <si>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</si>
  <si>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</si>
  <si>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</si>
  <si>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</si>
  <si>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</si>
  <si>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</si>
  <si>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</si>
  <si>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</si>
  <si>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</si>
  <si>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</si>
  <si>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</si>
  <si>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</si>
  <si>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</si>
  <si>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</si>
  <si>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</si>
  <si>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</si>
  <si>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</si>
  <si>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</si>
  <si>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</si>
  <si>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</si>
  <si>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</si>
  <si>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</si>
  <si>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</si>
  <si>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</si>
  <si>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</si>
  <si>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</si>
  <si>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</si>
  <si>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</si>
  <si>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</si>
  <si>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</si>
  <si>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</si>
  <si>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</si>
  <si>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</si>
  <si>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</si>
  <si>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</si>
  <si>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</si>
  <si>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</si>
  <si>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</si>
  <si>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</si>
  <si>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</si>
  <si>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</si>
  <si>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</si>
  <si>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</si>
  <si>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</si>
  <si>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</si>
  <si>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</si>
  <si>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</si>
  <si>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</si>
  <si>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</si>
  <si>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</si>
  <si>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</si>
  <si>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</si>
  <si>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</si>
  <si>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</si>
  <si>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</si>
  <si>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</si>
  <si>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</si>
  <si>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</si>
  <si>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</si>
  <si>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</si>
  <si>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</si>
  <si>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</si>
  <si>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</si>
  <si>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</si>
  <si>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</si>
  <si>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</si>
  <si>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</si>
  <si>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</si>
  <si>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</si>
  <si>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</si>
  <si>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</si>
  <si>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</si>
  <si>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</si>
  <si>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</si>
  <si>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</si>
  <si>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</si>
  <si>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</si>
  <si>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</si>
  <si>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</si>
  <si>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</si>
  <si>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</si>
  <si>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</si>
  <si>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</si>
  <si>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</si>
  <si>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</si>
  <si>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</si>
  <si>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</si>
  <si>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</si>
  <si>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</si>
  <si>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</si>
  <si>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</si>
  <si>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</si>
  <si>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</si>
  <si>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</si>
  <si>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</si>
  <si>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</si>
  <si>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</si>
  <si>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</si>
  <si>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</si>
  <si>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</si>
  <si>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</si>
  <si>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</si>
  <si>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</si>
  <si>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</si>
  <si>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</si>
  <si>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</si>
  <si>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</si>
  <si>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</si>
  <si>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</si>
  <si>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</si>
  <si>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</si>
  <si>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</si>
  <si>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</si>
  <si>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</si>
  <si>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</si>
  <si>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</si>
  <si>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</si>
  <si>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</si>
  <si>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</si>
  <si>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</si>
  <si>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</si>
  <si>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</si>
  <si>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</si>
  <si>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</si>
  <si>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</si>
  <si>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</si>
  <si>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</si>
  <si>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</si>
  <si>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</si>
  <si>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</si>
  <si>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</si>
  <si>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</si>
  <si>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</si>
  <si>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</si>
  <si>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</si>
  <si>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</si>
  <si>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</si>
  <si>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</si>
  <si>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</si>
  <si>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</si>
  <si>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</si>
  <si>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</si>
  <si>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</si>
  <si>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</si>
  <si>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</si>
  <si>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</si>
  <si>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</si>
  <si>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</si>
  <si>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</si>
  <si>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</si>
  <si>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</si>
  <si>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</si>
  <si>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</si>
  <si>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</si>
  <si>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</si>
  <si>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</si>
  <si>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</si>
  <si>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</si>
  <si>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</si>
  <si>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</si>
  <si>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</si>
  <si>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</si>
  <si>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</si>
  <si>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</si>
  <si>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</si>
  <si>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</si>
  <si>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</si>
  <si>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</si>
  <si>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</si>
  <si>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</si>
  <si>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</si>
  <si>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</si>
  <si>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</si>
  <si>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</si>
  <si>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</si>
  <si>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</si>
  <si>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</si>
  <si>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</si>
  <si>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</si>
  <si>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</si>
  <si>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</si>
  <si>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</si>
  <si>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</si>
  <si>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</si>
  <si>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</si>
  <si>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</si>
  <si>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</si>
  <si>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</si>
  <si>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</si>
  <si>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</si>
  <si>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</si>
  <si>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</si>
  <si>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</si>
  <si>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</si>
  <si>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</si>
  <si>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</si>
  <si>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</si>
  <si>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</si>
  <si>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</si>
  <si>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</si>
  <si>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</si>
  <si>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</si>
  <si>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</si>
  <si>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</si>
  <si>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</si>
  <si>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</si>
  <si>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</si>
  <si>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</si>
  <si>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</si>
  <si>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</si>
  <si>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</si>
  <si>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</si>
  <si>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</si>
  <si>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</si>
  <si>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</si>
  <si>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</si>
  <si>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</si>
  <si>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</si>
  <si>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</si>
  <si>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</si>
  <si>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</si>
  <si>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</si>
  <si>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</si>
  <si>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</si>
  <si>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</si>
  <si>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</si>
  <si>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</si>
  <si>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</si>
  <si>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</si>
  <si>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</si>
  <si>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</si>
  <si>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</si>
  <si>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</si>
  <si>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</si>
  <si>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</si>
  <si>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</si>
  <si>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</si>
  <si>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</si>
  <si>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</si>
  <si>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</si>
  <si>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</si>
  <si>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</si>
  <si>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</si>
  <si>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</si>
  <si>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</si>
  <si>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</si>
  <si>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</si>
  <si>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</si>
  <si>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</si>
  <si>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</si>
  <si>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</si>
  <si>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</si>
  <si>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</si>
  <si>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</si>
  <si>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</si>
  <si>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</si>
  <si>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</si>
  <si>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</si>
  <si>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</si>
  <si>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</si>
  <si>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</si>
  <si>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</si>
  <si>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</si>
  <si>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</si>
  <si>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</si>
  <si>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</si>
  <si>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</si>
  <si>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</si>
  <si>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</si>
  <si>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</si>
  <si>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</si>
  <si>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</si>
  <si>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</si>
  <si>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</si>
  <si>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</si>
  <si>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</si>
  <si>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</si>
  <si>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</si>
  <si>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</si>
  <si>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</si>
  <si>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</si>
  <si>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</si>
  <si>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</si>
  <si>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</si>
  <si>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</si>
  <si>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</si>
  <si>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</si>
  <si>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</si>
  <si>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</si>
  <si>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</si>
  <si>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</si>
  <si>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</si>
  <si>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</si>
  <si>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</si>
  <si>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</si>
  <si>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</si>
  <si>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</si>
  <si>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</si>
  <si>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</si>
  <si>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</si>
  <si>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</si>
  <si>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</si>
  <si>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</si>
  <si>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</si>
  <si>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</si>
  <si>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</si>
  <si>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</si>
  <si>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</si>
  <si>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</si>
  <si>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</si>
  <si>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</si>
  <si>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</si>
  <si>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</si>
  <si>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</si>
  <si>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</si>
  <si>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</si>
  <si>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</si>
  <si>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</si>
  <si>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</si>
  <si>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</si>
  <si>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</si>
  <si>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</si>
  <si>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</si>
  <si>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</si>
  <si>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</si>
  <si>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</si>
  <si>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</si>
  <si>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</si>
  <si>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</si>
  <si>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</si>
  <si>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</si>
  <si>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</si>
  <si>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</si>
  <si>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</si>
  <si>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</si>
  <si>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</si>
  <si>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</si>
  <si>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</si>
  <si>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</si>
  <si>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</si>
  <si>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</si>
  <si>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</si>
  <si>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</si>
  <si>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</si>
  <si>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</si>
  <si>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</si>
  <si>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</si>
  <si>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</si>
  <si>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</si>
  <si>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</si>
  <si>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</si>
  <si>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</si>
  <si>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</si>
  <si>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</si>
  <si>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</si>
  <si>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</si>
  <si>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</si>
  <si>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</si>
  <si>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</si>
  <si>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</si>
  <si>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</si>
  <si>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</si>
  <si>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</si>
  <si>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</si>
  <si>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</si>
  <si>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</si>
  <si>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</si>
  <si>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</si>
  <si>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</si>
  <si>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</si>
  <si>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</si>
  <si>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</si>
  <si>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</si>
  <si>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</si>
  <si>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</si>
  <si>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</si>
  <si>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</si>
  <si>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</si>
  <si>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</si>
  <si>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</si>
  <si>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</si>
  <si>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</si>
  <si>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</si>
  <si>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</si>
  <si>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</si>
  <si>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</si>
  <si>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</si>
  <si>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</si>
  <si>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</si>
  <si>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</si>
  <si>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</si>
  <si>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</si>
  <si>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</si>
  <si>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</si>
  <si>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</si>
  <si>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</si>
  <si>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</si>
  <si>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</si>
  <si>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</si>
  <si>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</si>
  <si>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</si>
  <si>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</si>
  <si>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</si>
  <si>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</si>
  <si>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</si>
  <si>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</si>
  <si>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</si>
  <si>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</si>
  <si>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</si>
  <si>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</si>
  <si>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</si>
  <si>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</si>
  <si>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</si>
  <si>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</si>
  <si>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</si>
  <si>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</si>
  <si>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</si>
  <si>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</si>
  <si>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</si>
  <si>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</si>
  <si>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</si>
  <si>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</si>
  <si>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</si>
  <si>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</si>
  <si>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</si>
  <si>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</si>
  <si>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</si>
  <si>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</si>
  <si>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</si>
  <si>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</si>
  <si>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</si>
  <si>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</si>
  <si>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</si>
  <si>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</si>
  <si>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</si>
  <si>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</si>
  <si>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</si>
  <si>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</si>
  <si>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</si>
  <si>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</si>
  <si>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</si>
  <si>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</si>
  <si>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</si>
  <si>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</si>
  <si>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</si>
  <si>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</si>
  <si>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</si>
  <si>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</si>
  <si>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</si>
  <si>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</si>
  <si>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</si>
  <si>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</si>
  <si>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</si>
  <si>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</si>
  <si>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</si>
  <si>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</si>
  <si>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</si>
  <si>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</si>
  <si>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</si>
  <si>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</si>
  <si>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</si>
  <si>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</si>
  <si>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</si>
  <si>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</si>
  <si>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</si>
  <si>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</si>
  <si>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</si>
  <si>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</si>
  <si>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</si>
  <si>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</si>
  <si>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</si>
  <si>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</si>
  <si>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</si>
  <si>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</si>
  <si>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</si>
  <si>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</si>
  <si>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</si>
  <si>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</si>
  <si>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</si>
  <si>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</si>
  <si>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</si>
  <si>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</si>
  <si>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</si>
  <si>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</si>
  <si>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</si>
  <si>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</si>
  <si>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</si>
  <si>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</si>
  <si>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</si>
  <si>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</si>
  <si>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</si>
  <si>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</si>
  <si>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</si>
  <si>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</si>
  <si>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</si>
  <si>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</si>
  <si>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</si>
  <si>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</si>
  <si>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</si>
  <si>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</si>
  <si>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</si>
  <si>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</si>
  <si>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</si>
  <si>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</si>
  <si>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</si>
  <si>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</si>
  <si>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</si>
  <si>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</si>
  <si>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</si>
  <si>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</si>
  <si>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</si>
  <si>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</si>
  <si>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</si>
  <si>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</si>
  <si>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</si>
  <si>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</si>
  <si>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</si>
  <si>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</si>
  <si>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</si>
  <si>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</si>
  <si>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</si>
  <si>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</si>
  <si>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</si>
  <si>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</si>
  <si>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</si>
  <si>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</si>
  <si>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</si>
  <si>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</si>
  <si>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</si>
  <si>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</si>
  <si>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</si>
  <si>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</si>
  <si>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</si>
  <si>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</si>
  <si>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</si>
  <si>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</si>
  <si>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</si>
  <si>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</si>
  <si>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</si>
  <si>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</si>
  <si>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</si>
  <si>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</si>
  <si>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</si>
  <si>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</si>
  <si>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</si>
  <si>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</si>
  <si>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</si>
  <si>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</si>
  <si>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</si>
  <si>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</si>
  <si>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</si>
  <si>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</si>
  <si>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</si>
  <si>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</si>
  <si>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</si>
  <si>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</si>
  <si>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</si>
  <si>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</si>
  <si>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</si>
  <si>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</si>
  <si>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</si>
  <si>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</si>
  <si>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</si>
  <si>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</si>
  <si>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</si>
  <si>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</si>
  <si>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</si>
  <si>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</si>
  <si>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</si>
  <si>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</si>
  <si>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</si>
  <si>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</si>
  <si>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</si>
  <si>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</si>
  <si>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</si>
  <si>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</si>
  <si>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</si>
  <si>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</si>
  <si>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</si>
  <si>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</si>
  <si>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</si>
  <si>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</si>
  <si>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</si>
  <si>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</si>
  <si>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</si>
  <si>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</si>
  <si>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</si>
  <si>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</si>
  <si>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</si>
  <si>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</si>
  <si>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</si>
  <si>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</si>
  <si>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</si>
  <si>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</si>
  <si>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</si>
  <si>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</si>
  <si>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</si>
  <si>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</si>
  <si>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</si>
  <si>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</si>
  <si>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</si>
  <si>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</si>
  <si>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</si>
  <si>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</si>
  <si>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</si>
  <si>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</si>
  <si>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</si>
  <si>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</si>
  <si>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</si>
  <si>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</si>
  <si>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</si>
  <si>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</si>
  <si>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</si>
  <si>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</si>
  <si>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</si>
  <si>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</si>
  <si>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</si>
  <si>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</si>
  <si>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</si>
  <si>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</si>
  <si>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</si>
  <si>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</si>
  <si>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</si>
  <si>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</si>
  <si>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</si>
  <si>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</si>
  <si>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</si>
  <si>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</si>
  <si>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</si>
  <si>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</si>
  <si>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</si>
  <si>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</si>
  <si>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</si>
  <si>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</si>
  <si>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</si>
  <si>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</si>
  <si>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</si>
  <si>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</si>
  <si>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</si>
  <si>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</si>
  <si>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</si>
  <si>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</si>
  <si>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</si>
  <si>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</si>
  <si>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</si>
  <si>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</si>
  <si>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</si>
  <si>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</si>
  <si>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</si>
  <si>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</si>
  <si>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</si>
  <si>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</si>
  <si>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</si>
  <si>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</si>
  <si>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</si>
  <si>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</si>
  <si>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</si>
  <si>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</si>
  <si>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</si>
  <si>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</si>
  <si>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</si>
  <si>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</si>
  <si>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</si>
  <si>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</si>
  <si>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</si>
  <si>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</si>
  <si>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</si>
  <si>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</si>
  <si>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</si>
  <si>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</si>
  <si>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</si>
  <si>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</si>
  <si>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</si>
  <si>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</si>
  <si>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</si>
  <si>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</si>
  <si>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</si>
  <si>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</si>
  <si>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</si>
  <si>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</si>
  <si>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</si>
  <si>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</si>
  <si>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</si>
  <si>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</si>
  <si>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</si>
  <si>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</si>
  <si>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</si>
  <si>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</si>
  <si>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</si>
  <si>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</si>
  <si>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</si>
  <si>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</si>
  <si>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</si>
  <si>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</si>
  <si>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</si>
  <si>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</si>
  <si>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</si>
  <si>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</si>
  <si>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</si>
  <si>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</si>
  <si>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</si>
  <si>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</si>
  <si>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</si>
  <si>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</si>
  <si>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</si>
  <si>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</si>
  <si>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</si>
  <si>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</si>
  <si>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</si>
  <si>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</si>
  <si>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</si>
  <si>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</si>
  <si>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</si>
  <si>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</si>
  <si>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</si>
  <si>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</si>
  <si>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</si>
  <si>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</si>
  <si>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</si>
  <si>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</si>
  <si>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</si>
  <si>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</si>
  <si>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</si>
  <si>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</si>
  <si>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</si>
  <si>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</si>
  <si>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</si>
  <si>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</si>
  <si>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</si>
  <si>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</si>
  <si>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</si>
  <si>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</si>
  <si>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</si>
  <si>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</si>
  <si>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</si>
  <si>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</si>
  <si>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</si>
  <si>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</si>
  <si>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</si>
  <si>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</si>
  <si>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</si>
  <si>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</si>
  <si>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</si>
  <si>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</si>
  <si>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</si>
  <si>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</si>
  <si>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</si>
  <si>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</si>
  <si>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</si>
  <si>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</si>
  <si>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</si>
  <si>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</si>
  <si>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</si>
  <si>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</si>
  <si>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</si>
  <si>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</si>
  <si>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</si>
  <si>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</si>
  <si>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</si>
  <si>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</si>
  <si>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</si>
  <si>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</si>
  <si>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</si>
  <si>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</si>
  <si>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</si>
  <si>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</si>
  <si>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</si>
  <si>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</si>
  <si>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</si>
  <si>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</si>
  <si>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</si>
  <si>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</si>
  <si>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</si>
  <si>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</si>
  <si>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</si>
  <si>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</si>
  <si>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</si>
  <si>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</si>
  <si>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</si>
  <si>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</si>
  <si>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</si>
  <si>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</si>
  <si>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</si>
  <si>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</si>
  <si>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</si>
  <si>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</si>
  <si>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</si>
  <si>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</si>
  <si>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</si>
  <si>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</si>
  <si>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</si>
  <si>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</si>
  <si>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</si>
  <si>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</si>
  <si>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</si>
  <si>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</si>
  <si>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</si>
  <si>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</si>
  <si>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</si>
  <si>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</si>
  <si>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</si>
  <si>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</si>
  <si>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</si>
  <si>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</si>
  <si>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</si>
  <si>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</si>
  <si>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</si>
  <si>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</si>
  <si>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</si>
  <si>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</si>
  <si>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</si>
  <si>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</si>
  <si>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</si>
  <si>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</si>
  <si>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</si>
  <si>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</si>
  <si>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</si>
  <si>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</si>
  <si>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</si>
  <si>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</si>
  <si>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</si>
  <si>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</si>
  <si>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</si>
  <si>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</si>
  <si>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</si>
  <si>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</si>
  <si>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</si>
  <si>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</si>
  <si>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</si>
  <si>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</si>
  <si>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</si>
  <si>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</si>
  <si>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</si>
  <si>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</si>
  <si>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</si>
  <si>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</si>
  <si>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</si>
  <si>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</si>
  <si>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</si>
  <si>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</si>
  <si>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</si>
  <si>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</si>
  <si>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</si>
  <si>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</si>
  <si>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</si>
  <si>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</si>
  <si>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</si>
  <si>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</si>
  <si>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</si>
  <si>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</si>
  <si>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</si>
  <si>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</si>
  <si>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</si>
  <si>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</si>
  <si>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</si>
  <si>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</si>
  <si>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</si>
  <si>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</si>
  <si>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</si>
  <si>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</si>
  <si>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</si>
  <si>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</si>
  <si>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</si>
  <si>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</si>
  <si>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</si>
  <si>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</si>
  <si>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</si>
  <si>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</si>
  <si>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</si>
  <si>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</si>
  <si>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</si>
  <si>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</si>
  <si>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</si>
  <si>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</si>
  <si>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</si>
  <si>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</si>
  <si>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</si>
  <si>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</si>
  <si>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</si>
  <si>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</si>
  <si>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</si>
  <si>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</si>
  <si>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</si>
  <si>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</si>
  <si>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</si>
  <si>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</si>
  <si>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</si>
  <si>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</si>
  <si>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</si>
  <si>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</si>
  <si>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</si>
  <si>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</si>
  <si>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</si>
  <si>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</si>
  <si>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</si>
  <si>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</si>
  <si>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</si>
  <si>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</si>
  <si>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</si>
  <si>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</si>
  <si>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</si>
  <si>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</si>
  <si>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</si>
  <si>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</si>
  <si>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</si>
  <si>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</si>
  <si>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</si>
  <si>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</si>
  <si>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</si>
  <si>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</si>
  <si>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</si>
  <si>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</si>
  <si>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</si>
  <si>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</si>
  <si>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</si>
  <si>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</si>
  <si>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</si>
  <si>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</si>
  <si>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</si>
  <si>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</si>
  <si>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</si>
  <si>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</si>
  <si>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</si>
  <si>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</si>
  <si>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</si>
  <si>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</si>
  <si>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</si>
  <si>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</si>
  <si>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</si>
  <si>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</si>
  <si>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</si>
  <si>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</si>
  <si>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</si>
  <si>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</si>
  <si>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</si>
  <si>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</si>
  <si>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</si>
  <si>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</si>
  <si>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</si>
  <si>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</si>
  <si>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</si>
  <si>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</si>
  <si>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</si>
  <si>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</si>
  <si>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</si>
  <si>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</si>
  <si>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</si>
  <si>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</si>
  <si>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</si>
  <si>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</si>
  <si>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</si>
  <si>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</si>
  <si>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</si>
  <si>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</si>
  <si>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</si>
  <si>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</si>
  <si>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</si>
  <si>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</si>
  <si>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</si>
  <si>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</si>
  <si>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</si>
  <si>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</si>
  <si>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</si>
  <si>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</si>
  <si>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</si>
  <si>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</si>
  <si>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</si>
  <si>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</si>
  <si>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</si>
  <si>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</si>
  <si>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</si>
  <si>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</si>
  <si>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</si>
  <si>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</si>
  <si>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</si>
  <si>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</si>
  <si>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</si>
  <si>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</si>
  <si>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</si>
  <si>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</si>
  <si>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</si>
  <si>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</si>
  <si>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</si>
  <si>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</si>
  <si>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</si>
  <si>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</si>
  <si>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</si>
  <si>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</si>
  <si>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</si>
  <si>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</si>
  <si>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</si>
  <si>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</si>
  <si>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</si>
  <si>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</si>
  <si>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</si>
  <si>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</si>
  <si>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</si>
  <si>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</si>
  <si>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</si>
  <si>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</si>
  <si>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</si>
  <si>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</si>
  <si>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</si>
  <si>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</si>
  <si>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</si>
  <si>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</si>
  <si>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</si>
  <si>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</si>
  <si>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</si>
  <si>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</si>
  <si>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</si>
  <si>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</si>
  <si>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</si>
  <si>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</si>
  <si>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</si>
  <si>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</si>
  <si>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</si>
  <si>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</si>
  <si>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</si>
  <si>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</si>
  <si>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</si>
  <si>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</si>
  <si>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</si>
  <si>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</si>
  <si>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</si>
  <si>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</si>
  <si>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</si>
  <si>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</si>
  <si>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</si>
  <si>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</si>
  <si>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</si>
  <si>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</si>
  <si>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</si>
  <si>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</si>
  <si>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</si>
  <si>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</si>
  <si>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</si>
  <si>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</si>
  <si>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</si>
  <si>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</si>
  <si>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</si>
  <si>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</si>
  <si>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</si>
  <si>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</si>
  <si>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</si>
  <si>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</si>
  <si>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</si>
  <si>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</si>
  <si>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</si>
  <si>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</si>
  <si>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</si>
  <si>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</si>
  <si>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</si>
  <si>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</si>
  <si>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</si>
  <si>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</si>
  <si>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</si>
  <si>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</si>
  <si>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</si>
  <si>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</si>
  <si>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</si>
  <si>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</si>
  <si>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</si>
  <si>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</si>
  <si>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</si>
  <si>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</si>
  <si>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</si>
  <si>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</si>
  <si>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</si>
  <si>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</si>
  <si>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</si>
  <si>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</si>
  <si>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</si>
  <si>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</si>
  <si>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</si>
  <si>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</si>
  <si>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</si>
  <si>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</si>
  <si>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</si>
  <si>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</si>
  <si>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</si>
  <si>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</si>
  <si>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</si>
  <si>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</si>
  <si>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</si>
  <si>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</si>
  <si>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</si>
  <si>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</si>
  <si>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</si>
  <si>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</si>
  <si>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</si>
  <si>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</si>
  <si>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</si>
  <si>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</si>
  <si>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</si>
  <si>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</si>
  <si>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</si>
  <si>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</si>
  <si>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</si>
  <si>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</si>
  <si>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</si>
  <si>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</si>
  <si>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</si>
  <si>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</si>
  <si>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</si>
  <si>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</si>
  <si>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</si>
  <si>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</si>
  <si>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</si>
  <si>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</si>
  <si>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</si>
  <si>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</si>
  <si>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</si>
  <si>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</si>
  <si>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</si>
  <si>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</si>
  <si>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</si>
  <si>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</si>
  <si>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</si>
  <si>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</si>
  <si>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</si>
  <si>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</si>
  <si>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</si>
  <si>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</si>
  <si>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</si>
  <si>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</si>
  <si>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</si>
  <si>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</si>
  <si>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</si>
  <si>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</si>
  <si>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</si>
  <si>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</si>
  <si>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</si>
  <si>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</si>
  <si>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</si>
  <si>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</si>
  <si>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</si>
  <si>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</si>
  <si>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</si>
  <si>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</si>
  <si>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</si>
  <si>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</si>
  <si>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</si>
  <si>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</si>
  <si>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</si>
  <si>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</si>
  <si>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</si>
  <si>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</si>
  <si>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</si>
  <si>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</si>
  <si>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</si>
  <si>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</si>
  <si>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</si>
  <si>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</si>
  <si>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</si>
  <si>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</si>
  <si>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</si>
  <si>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</si>
  <si>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</si>
  <si>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</si>
  <si>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</si>
  <si>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</si>
  <si>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</si>
  <si>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</si>
  <si>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</si>
  <si>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</si>
  <si>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</si>
  <si>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</si>
  <si>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</si>
  <si>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</si>
  <si>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</si>
  <si>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</si>
  <si>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</si>
  <si>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</si>
  <si>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</si>
  <si>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</si>
  <si>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</si>
  <si>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</si>
  <si>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</si>
  <si>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</si>
  <si>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</si>
  <si>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</si>
  <si>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EPS 1400</t>
  </si>
  <si>
    <t>سهم پارسان از eps</t>
  </si>
  <si>
    <t>DPS 1400</t>
  </si>
  <si>
    <t>سهم پارسان از dps</t>
  </si>
  <si>
    <t>EPS 1401</t>
  </si>
  <si>
    <t>سهم وکغدیر از eps</t>
  </si>
  <si>
    <t>سهم وکغدیر از dps</t>
  </si>
  <si>
    <t>22/1/1401</t>
  </si>
  <si>
    <t>23/1/1401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</si>
  <si>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</si>
  <si>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</si>
  <si>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</si>
  <si>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</si>
  <si>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</si>
  <si>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</si>
  <si>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</si>
  <si>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</si>
  <si>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</si>
  <si>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</si>
  <si>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</si>
  <si>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</si>
  <si>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</si>
  <si>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</si>
  <si>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</si>
  <si>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</si>
  <si>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</si>
  <si>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</si>
  <si>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</si>
  <si>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</si>
  <si>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</si>
  <si>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</si>
  <si>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</si>
  <si>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</si>
  <si>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</si>
  <si>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</si>
  <si>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</si>
  <si>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</si>
  <si>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</si>
  <si>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</si>
  <si>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</si>
  <si>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</si>
  <si>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</si>
  <si>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</si>
  <si>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</si>
  <si>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1/3/1401</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</si>
  <si>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</si>
  <si>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</si>
  <si>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</si>
  <si>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</si>
  <si>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</si>
  <si>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</si>
  <si>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</si>
  <si>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</si>
  <si>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</si>
  <si>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</si>
  <si>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</si>
  <si>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</si>
  <si>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</si>
  <si>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</si>
  <si>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</si>
  <si>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</si>
  <si>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</si>
  <si>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</si>
  <si>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</si>
  <si>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</si>
  <si>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21/6/1401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</si>
  <si>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</si>
  <si>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</si>
  <si>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</si>
  <si>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</si>
  <si>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</si>
  <si>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</si>
  <si>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</si>
  <si>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</si>
  <si>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</si>
  <si>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</si>
  <si>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</si>
  <si>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</si>
  <si>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</si>
  <si>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</si>
  <si>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20/4/1401</t>
  </si>
  <si>
    <t>22/4/1402</t>
  </si>
  <si>
    <t>25/4/1401</t>
  </si>
  <si>
    <t>28/4/1401</t>
  </si>
  <si>
    <t>29/4/1401</t>
  </si>
  <si>
    <t>1/5/1401</t>
  </si>
  <si>
    <t>DPS زیر مجموعه 1401</t>
  </si>
  <si>
    <t>سود تقسیمی برای وسپه 1401</t>
  </si>
  <si>
    <t>2/5/1401</t>
  </si>
  <si>
    <t>3/5/1401</t>
  </si>
  <si>
    <t>4/5/1401</t>
  </si>
  <si>
    <t>8/5/1401</t>
  </si>
  <si>
    <t>بدهی به حسین 8/5/1401 200 یورو</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</si>
  <si>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</si>
  <si>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</si>
  <si>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</si>
  <si>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</si>
  <si>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</si>
  <si>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</si>
  <si>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</si>
  <si>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</si>
  <si>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</si>
  <si>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</si>
  <si>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</si>
  <si>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</si>
  <si>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</si>
  <si>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</si>
  <si>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</si>
  <si>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</si>
  <si>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</si>
  <si>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</si>
  <si>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</si>
  <si>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</si>
  <si>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</si>
  <si>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</si>
  <si>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</si>
  <si>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</si>
  <si>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</si>
  <si>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</si>
  <si>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</si>
  <si>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</si>
  <si>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</si>
  <si>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</si>
  <si>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</si>
  <si>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</si>
  <si>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</si>
  <si>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</si>
  <si>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</si>
  <si>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</si>
  <si>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10/7/1401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</si>
  <si>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</si>
  <si>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</si>
  <si>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</si>
  <si>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</si>
  <si>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</si>
  <si>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</si>
  <si>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</si>
  <si>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</si>
  <si>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</si>
  <si>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</si>
  <si>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</si>
  <si>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</si>
  <si>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</si>
  <si>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</si>
  <si>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</si>
  <si>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</si>
  <si>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</si>
  <si>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</si>
  <si>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</si>
  <si>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</si>
  <si>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</si>
  <si>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</si>
  <si>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</si>
  <si>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</si>
  <si>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</si>
  <si>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</si>
  <si>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</si>
  <si>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</si>
  <si>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</si>
  <si>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</si>
  <si>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</si>
  <si>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</si>
  <si>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</si>
  <si>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</si>
  <si>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</si>
  <si>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</si>
  <si>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</si>
  <si>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</si>
  <si>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</si>
  <si>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</si>
  <si>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</si>
  <si>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</si>
  <si>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</si>
  <si>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</si>
  <si>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</si>
  <si>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</si>
  <si>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</si>
  <si>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</si>
  <si>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</si>
  <si>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</si>
  <si>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</si>
  <si>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</si>
  <si>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</si>
  <si>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</si>
  <si>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</si>
  <si>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</si>
  <si>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</si>
  <si>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19/10/1401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</si>
  <si>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</si>
  <si>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</si>
  <si>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</si>
  <si>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</si>
  <si>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</si>
  <si>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</si>
  <si>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</si>
  <si>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</si>
  <si>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</si>
  <si>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</si>
  <si>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</si>
  <si>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</si>
  <si>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</si>
  <si>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</si>
  <si>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</si>
  <si>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</si>
  <si>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طلب از مداحی 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</si>
  <si>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</si>
  <si>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</si>
  <si>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</si>
  <si>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</si>
  <si>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</si>
  <si>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</si>
  <si>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</si>
  <si>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</si>
  <si>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</si>
  <si>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</si>
  <si>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</si>
  <si>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</si>
  <si>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16/11/1401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</si>
  <si>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</si>
  <si>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</si>
  <si>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</si>
  <si>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</si>
  <si>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</si>
  <si>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</si>
  <si>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</si>
  <si>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</si>
  <si>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</si>
  <si>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</si>
  <si>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</si>
  <si>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</si>
  <si>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</si>
  <si>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</si>
  <si>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</si>
  <si>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</si>
  <si>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</si>
  <si>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</si>
  <si>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</si>
  <si>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</si>
  <si>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</si>
  <si>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</si>
  <si>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</si>
  <si>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</si>
  <si>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</si>
  <si>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</si>
  <si>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</si>
  <si>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</si>
  <si>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</si>
  <si>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</si>
  <si>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</si>
  <si>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</si>
  <si>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</si>
  <si>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</si>
  <si>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</si>
  <si>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</si>
  <si>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</si>
  <si>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</si>
  <si>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</si>
  <si>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</si>
  <si>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</si>
  <si>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</si>
  <si>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</si>
  <si>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</si>
  <si>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</si>
  <si>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</si>
  <si>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</si>
  <si>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</si>
  <si>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</si>
  <si>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</si>
  <si>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بدهی به مهدی 8/1/1402</t>
  </si>
  <si>
    <t>ضترو4005</t>
  </si>
  <si>
    <t>ضترو4006</t>
  </si>
  <si>
    <t>ضترو4007</t>
  </si>
  <si>
    <t>7/1/1402</t>
  </si>
  <si>
    <t>8/1/1402</t>
  </si>
  <si>
    <t>پتروآگاه حساب فرنیا</t>
  </si>
  <si>
    <t>پتروآگاه حساب ایلیا</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</si>
  <si>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</si>
  <si>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</si>
  <si>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</si>
  <si>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</si>
  <si>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</si>
  <si>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</si>
  <si>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</si>
  <si>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</si>
  <si>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</si>
  <si>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</si>
  <si>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</si>
  <si>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</si>
  <si>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</si>
  <si>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</si>
  <si>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شبندر</t>
  </si>
  <si>
    <t>21/1/1402</t>
  </si>
  <si>
    <t>شپنا</t>
  </si>
  <si>
    <t>22/1/1402</t>
  </si>
  <si>
    <t>پول نقد</t>
  </si>
  <si>
    <t>خودرو</t>
  </si>
  <si>
    <t>اهرم</t>
  </si>
  <si>
    <t>توان</t>
  </si>
  <si>
    <t>ضستا4007</t>
  </si>
  <si>
    <t>ضستا3010</t>
  </si>
  <si>
    <t>ضستا2018</t>
  </si>
  <si>
    <t>ضستا2017</t>
  </si>
  <si>
    <t>ضخود3074</t>
  </si>
  <si>
    <t>26/1/1402</t>
  </si>
  <si>
    <t>,وغدیر</t>
  </si>
  <si>
    <t>شتران</t>
  </si>
  <si>
    <t>ضخود2036</t>
  </si>
  <si>
    <t>ضستا2016</t>
  </si>
  <si>
    <t>ضترا3028</t>
  </si>
  <si>
    <t>27/1/1402</t>
  </si>
  <si>
    <t>28/1/1402</t>
  </si>
  <si>
    <t>ضستا1220</t>
  </si>
  <si>
    <t>28/12/1402</t>
  </si>
  <si>
    <t>ضستا4011</t>
  </si>
  <si>
    <t xml:space="preserve"> 28/1/1402</t>
  </si>
  <si>
    <t>شستا حساب فرنیا</t>
  </si>
  <si>
    <t>شستا حساب ایلیا</t>
  </si>
  <si>
    <t>29/1/1402</t>
  </si>
  <si>
    <t>ضستا2019</t>
  </si>
  <si>
    <t>طلب علی اعتبار 160 میلیون 28/10 و 250 میلیون تومن واریز 7/1/1402 و 500 میلیون تومن اعتبار 29/1/1402</t>
  </si>
  <si>
    <t>ضخود3074  3/3/1402</t>
  </si>
  <si>
    <t>ضترو4005  14/4/1402</t>
  </si>
  <si>
    <t>ضترو4006  14/4/1402</t>
  </si>
  <si>
    <t>ضترو4007  14/4/1402</t>
  </si>
  <si>
    <t>ضترا3028   28/3/1402</t>
  </si>
  <si>
    <t>ضستا3010  17/3/1402</t>
  </si>
  <si>
    <t>ضستا4011  14/4/1402</t>
  </si>
  <si>
    <t>ضستا4007  14/4/1402</t>
  </si>
  <si>
    <t>ضستا1220  9/12/1402</t>
  </si>
  <si>
    <t>30/1/1402</t>
  </si>
  <si>
    <t>سارا واریز جدید</t>
  </si>
  <si>
    <t>واریز جدید</t>
  </si>
  <si>
    <t>علی خروج سود وسپه مریم و علی و ایلیا</t>
  </si>
  <si>
    <t>سود نقدی وغدیر</t>
  </si>
  <si>
    <t>نسبت سود به قیمت</t>
  </si>
  <si>
    <t xml:space="preserve">              </t>
  </si>
  <si>
    <t>طلب نصف 30 قسط وام 50 میلیونی 24/01/1402</t>
  </si>
  <si>
    <t>5/2/1402</t>
  </si>
  <si>
    <t>6/2/1402</t>
  </si>
  <si>
    <t>ضستا4010 14/4/1402</t>
  </si>
  <si>
    <t>10/2/1402</t>
  </si>
  <si>
    <t>ضستا4010</t>
  </si>
  <si>
    <t xml:space="preserve"> 10/2/1402</t>
  </si>
  <si>
    <t>11/2/1402</t>
  </si>
  <si>
    <t>حاج خانوم پارچه رو مبلی</t>
  </si>
  <si>
    <t>حاج خانوم پارچه رو مبل</t>
  </si>
  <si>
    <t>طستا6009</t>
  </si>
  <si>
    <t>طستا6008</t>
  </si>
  <si>
    <t>طستا6009 8/6/1402 136.5</t>
  </si>
  <si>
    <t>طستا 6008 8/6/1402 126.5</t>
  </si>
  <si>
    <t>12/2/1402</t>
  </si>
  <si>
    <t xml:space="preserve"> سارا</t>
  </si>
  <si>
    <t>فیروزه</t>
  </si>
  <si>
    <t>13/2/1402</t>
  </si>
  <si>
    <t>13/2/1401</t>
  </si>
  <si>
    <t>ضستا6014 8/6/1402</t>
  </si>
  <si>
    <t>ضستا 3012 17/3/1402</t>
  </si>
  <si>
    <t>ضستا6014</t>
  </si>
  <si>
    <t>ضستا3012</t>
  </si>
  <si>
    <t xml:space="preserve">خرید شستا در حساب مریم انجام شود </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</si>
  <si>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</si>
  <si>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</si>
  <si>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</si>
  <si>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</si>
  <si>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</si>
  <si>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</si>
  <si>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</si>
  <si>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</si>
  <si>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</si>
  <si>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</si>
  <si>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وغدیر شبندر</t>
  </si>
  <si>
    <t>ومهان خودرو</t>
  </si>
  <si>
    <t>ومهان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</si>
</sst>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FFC000"/>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theme="6"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60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36" borderId="5"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0" fillId="25" borderId="1" xfId="0" applyFill="1" applyBorder="1" applyAlignment="1">
      <alignment horizontal="center" vertical="center"/>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14" fillId="40" borderId="1" xfId="0" applyFont="1" applyFill="1" applyBorder="1" applyAlignment="1">
      <alignment horizont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16" fontId="0" fillId="36"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0" fillId="0" borderId="0" xfId="0"/>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18" fillId="8" borderId="1" xfId="0" applyFont="1" applyFill="1" applyBorder="1" applyAlignment="1">
      <alignment horizontal="center" vertical="center"/>
    </xf>
    <xf numFmtId="0" fontId="0" fillId="38" borderId="1" xfId="0" applyFill="1" applyBorder="1" applyAlignment="1">
      <alignment horizontal="center"/>
    </xf>
    <xf numFmtId="0" fontId="0" fillId="0" borderId="0" xfId="0"/>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0" fillId="0" borderId="0" xfId="0"/>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164" fontId="0" fillId="43" borderId="1" xfId="0" applyNumberFormat="1" applyFill="1" applyBorder="1" applyAlignment="1">
      <alignment horizontal="center" vertical="center"/>
    </xf>
    <xf numFmtId="0" fontId="18" fillId="43" borderId="1" xfId="0" applyFont="1" applyFill="1" applyBorder="1" applyAlignment="1">
      <alignment horizontal="center" vertical="center"/>
    </xf>
    <xf numFmtId="0" fontId="0" fillId="43" borderId="1" xfId="0" applyFill="1" applyBorder="1" applyAlignment="1">
      <alignment horizontal="center" wrapText="1"/>
    </xf>
    <xf numFmtId="0" fontId="0" fillId="33" borderId="1" xfId="0" applyFill="1" applyBorder="1" applyAlignment="1">
      <alignment horizontal="center" wrapText="1"/>
    </xf>
    <xf numFmtId="164" fontId="0" fillId="33" borderId="1" xfId="0" applyNumberFormat="1" applyFill="1" applyBorder="1" applyAlignment="1">
      <alignment horizontal="center" vertical="center"/>
    </xf>
    <xf numFmtId="0" fontId="18" fillId="33" borderId="1" xfId="0" applyFont="1" applyFill="1" applyBorder="1" applyAlignment="1">
      <alignment horizontal="center" vertical="center"/>
    </xf>
    <xf numFmtId="0" fontId="0" fillId="33" borderId="1" xfId="0" applyFill="1" applyBorder="1" applyAlignment="1">
      <alignment horizontal="center" vertical="center"/>
    </xf>
    <xf numFmtId="3" fontId="8" fillId="18" borderId="1" xfId="0" applyNumberFormat="1" applyFont="1" applyFill="1" applyBorder="1" applyAlignment="1">
      <alignment horizontal="center" vertical="center"/>
    </xf>
    <xf numFmtId="0" fontId="0" fillId="42" borderId="1" xfId="0"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3" borderId="1" xfId="0" applyFill="1" applyBorder="1" applyAlignment="1">
      <alignment horizontal="center"/>
    </xf>
    <xf numFmtId="0" fontId="0" fillId="44" borderId="1" xfId="0" applyFill="1" applyBorder="1" applyAlignment="1">
      <alignment horizontal="center"/>
    </xf>
    <xf numFmtId="0" fontId="15" fillId="44" borderId="1" xfId="0" applyFont="1" applyFill="1" applyBorder="1" applyAlignment="1">
      <alignment horizontal="center" vertical="center"/>
    </xf>
    <xf numFmtId="164" fontId="15" fillId="44" borderId="1" xfId="0" applyNumberFormat="1" applyFont="1" applyFill="1" applyBorder="1" applyAlignment="1">
      <alignment horizontal="center" vertical="center"/>
    </xf>
    <xf numFmtId="0" fontId="15" fillId="17" borderId="1" xfId="0" applyFont="1" applyFill="1" applyBorder="1" applyAlignment="1">
      <alignment horizontal="center" vertical="center"/>
    </xf>
    <xf numFmtId="164" fontId="15" fillId="17" borderId="1" xfId="0" applyNumberFormat="1" applyFont="1" applyFill="1" applyBorder="1" applyAlignment="1">
      <alignment horizontal="center" vertical="center"/>
    </xf>
    <xf numFmtId="0" fontId="15" fillId="13" borderId="1" xfId="0"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8" fillId="8" borderId="5" xfId="0" applyFont="1" applyFill="1" applyBorder="1" applyAlignment="1">
      <alignment horizontal="center" vertical="center"/>
    </xf>
    <xf numFmtId="0" fontId="15" fillId="38" borderId="1" xfId="0" applyFont="1" applyFill="1" applyBorder="1" applyAlignment="1">
      <alignment horizontal="center" vertical="center"/>
    </xf>
    <xf numFmtId="0" fontId="0" fillId="45" borderId="1" xfId="0" applyFill="1" applyBorder="1" applyAlignment="1">
      <alignment horizontal="center"/>
    </xf>
    <xf numFmtId="0" fontId="15" fillId="45" borderId="1" xfId="0" applyFont="1" applyFill="1" applyBorder="1" applyAlignment="1">
      <alignment horizontal="center" vertical="center"/>
    </xf>
    <xf numFmtId="164" fontId="15" fillId="45" borderId="1" xfId="0" applyNumberFormat="1" applyFont="1" applyFill="1" applyBorder="1" applyAlignment="1">
      <alignment horizontal="center" vertical="center"/>
    </xf>
    <xf numFmtId="0" fontId="18" fillId="45" borderId="1" xfId="0" applyFont="1" applyFill="1" applyBorder="1" applyAlignment="1">
      <alignment horizontal="center" vertical="center"/>
    </xf>
    <xf numFmtId="0" fontId="0" fillId="37" borderId="1" xfId="0" applyFill="1" applyBorder="1" applyAlignment="1">
      <alignment horizontal="center"/>
    </xf>
    <xf numFmtId="0" fontId="15" fillId="7" borderId="1" xfId="0" applyFont="1" applyFill="1" applyBorder="1" applyAlignment="1">
      <alignment horizontal="center" vertical="center"/>
    </xf>
    <xf numFmtId="164" fontId="15" fillId="7" borderId="1" xfId="0" applyNumberFormat="1" applyFont="1" applyFill="1" applyBorder="1" applyAlignment="1">
      <alignment horizontal="center" vertical="center"/>
    </xf>
    <xf numFmtId="164" fontId="0" fillId="7" borderId="1" xfId="0" applyNumberFormat="1" applyFill="1" applyBorder="1" applyAlignment="1">
      <alignment horizontal="center" vertical="center"/>
    </xf>
    <xf numFmtId="3" fontId="8" fillId="7" borderId="1" xfId="0" applyNumberFormat="1" applyFont="1" applyFill="1" applyBorder="1" applyAlignment="1">
      <alignment horizontal="center" vertical="center"/>
    </xf>
    <xf numFmtId="0" fontId="18" fillId="7" borderId="1" xfId="0" applyFont="1" applyFill="1" applyBorder="1" applyAlignment="1">
      <alignment horizontal="center" vertical="center"/>
    </xf>
    <xf numFmtId="0" fontId="0" fillId="7" borderId="1" xfId="0" applyFill="1" applyBorder="1" applyAlignment="1">
      <alignment horizontal="center" vertical="center"/>
    </xf>
    <xf numFmtId="0" fontId="0" fillId="0" borderId="0" xfId="0"/>
    <xf numFmtId="0" fontId="0" fillId="2" borderId="1" xfId="0" applyFill="1" applyBorder="1" applyAlignment="1">
      <alignment horizontal="center" vertical="center"/>
    </xf>
    <xf numFmtId="0" fontId="0" fillId="0" borderId="0" xfId="0"/>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6" borderId="1" xfId="0" applyFill="1" applyBorder="1" applyAlignment="1">
      <alignment horizontal="center" vertical="center"/>
    </xf>
    <xf numFmtId="164" fontId="0" fillId="6" borderId="1" xfId="0" applyNumberFormat="1" applyFill="1" applyBorder="1" applyAlignment="1">
      <alignment horizontal="center" vertical="center"/>
    </xf>
    <xf numFmtId="3" fontId="8" fillId="6" borderId="1" xfId="0" applyNumberFormat="1" applyFont="1" applyFill="1" applyBorder="1" applyAlignment="1">
      <alignment horizontal="center" vertical="center"/>
    </xf>
    <xf numFmtId="0" fontId="15" fillId="6" borderId="1" xfId="0" applyFont="1" applyFill="1" applyBorder="1" applyAlignment="1">
      <alignment horizontal="center" vertical="center"/>
    </xf>
    <xf numFmtId="164" fontId="15" fillId="6" borderId="1" xfId="0" applyNumberFormat="1" applyFont="1" applyFill="1" applyBorder="1" applyAlignment="1">
      <alignment horizontal="center" vertical="center"/>
    </xf>
    <xf numFmtId="164" fontId="15" fillId="36" borderId="1" xfId="0" applyNumberFormat="1" applyFont="1" applyFill="1" applyBorder="1" applyAlignment="1">
      <alignment horizontal="center" vertical="center"/>
    </xf>
    <xf numFmtId="0" fontId="0" fillId="6" borderId="1" xfId="0" applyFill="1" applyBorder="1" applyAlignment="1">
      <alignment horizontal="center"/>
    </xf>
    <xf numFmtId="0" fontId="0" fillId="42" borderId="1" xfId="0" applyFill="1" applyBorder="1"/>
    <xf numFmtId="3" fontId="0" fillId="42" borderId="1" xfId="0" applyNumberFormat="1" applyFill="1" applyBorder="1" applyAlignment="1">
      <alignment horizontal="center"/>
    </xf>
    <xf numFmtId="0" fontId="0" fillId="0" borderId="0" xfId="0"/>
    <xf numFmtId="3" fontId="0" fillId="2" borderId="1" xfId="0" applyNumberFormat="1" applyFill="1" applyBorder="1" applyAlignment="1">
      <alignment horizont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16" fontId="18" fillId="35"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164" fontId="18" fillId="43" borderId="1" xfId="0" applyNumberFormat="1" applyFont="1" applyFill="1" applyBorder="1" applyAlignment="1">
      <alignment horizontal="center" vertical="center"/>
    </xf>
    <xf numFmtId="164" fontId="18" fillId="18" borderId="1" xfId="0" applyNumberFormat="1" applyFont="1" applyFill="1" applyBorder="1" applyAlignment="1">
      <alignment horizontal="center" vertical="center"/>
    </xf>
    <xf numFmtId="3" fontId="18" fillId="18" borderId="1" xfId="0" applyNumberFormat="1" applyFont="1" applyFill="1" applyBorder="1" applyAlignment="1">
      <alignment horizontal="center" vertical="center"/>
    </xf>
    <xf numFmtId="0" fontId="18" fillId="42" borderId="1" xfId="0" applyFont="1" applyFill="1" applyBorder="1" applyAlignment="1">
      <alignment horizontal="center" vertical="center"/>
    </xf>
    <xf numFmtId="164" fontId="18" fillId="33" borderId="1" xfId="0" applyNumberFormat="1" applyFont="1" applyFill="1" applyBorder="1" applyAlignment="1">
      <alignment horizontal="center" vertical="center"/>
    </xf>
    <xf numFmtId="164" fontId="18" fillId="8" borderId="1" xfId="0" applyNumberFormat="1" applyFont="1" applyFill="1" applyBorder="1" applyAlignment="1">
      <alignment horizontal="center" vertical="center"/>
    </xf>
    <xf numFmtId="3" fontId="18" fillId="8" borderId="1" xfId="0" applyNumberFormat="1" applyFont="1" applyFill="1" applyBorder="1" applyAlignment="1">
      <alignment horizontal="center" vertical="center"/>
    </xf>
    <xf numFmtId="16" fontId="18" fillId="2"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0" fontId="18" fillId="2" borderId="1" xfId="0"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45" borderId="1" xfId="0" applyNumberFormat="1" applyFont="1" applyFill="1" applyBorder="1" applyAlignment="1">
      <alignment horizontal="center" vertical="center"/>
    </xf>
    <xf numFmtId="3" fontId="18" fillId="45" borderId="1" xfId="0" applyNumberFormat="1" applyFont="1" applyFill="1" applyBorder="1" applyAlignment="1">
      <alignment horizontal="center" vertical="center"/>
    </xf>
    <xf numFmtId="164" fontId="18" fillId="37" borderId="1" xfId="0" applyNumberFormat="1" applyFont="1" applyFill="1" applyBorder="1" applyAlignment="1">
      <alignment horizontal="center" vertical="center"/>
    </xf>
    <xf numFmtId="3" fontId="18" fillId="37"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 fontId="18" fillId="36"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3" fontId="18" fillId="43" borderId="1" xfId="0" applyNumberFormat="1" applyFont="1" applyFill="1" applyBorder="1" applyAlignment="1">
      <alignment horizontal="center" vertical="center"/>
    </xf>
    <xf numFmtId="3" fontId="18" fillId="33"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 fontId="18" fillId="25" borderId="1" xfId="0" applyNumberFormat="1" applyFont="1" applyFill="1" applyBorder="1" applyAlignment="1">
      <alignment horizontal="center" vertical="center"/>
    </xf>
    <xf numFmtId="0" fontId="18" fillId="25" borderId="1" xfId="0" applyFont="1" applyFill="1" applyBorder="1" applyAlignment="1">
      <alignment horizontal="center" vertical="center"/>
    </xf>
    <xf numFmtId="164" fontId="18" fillId="25" borderId="1" xfId="0" applyNumberFormat="1" applyFont="1" applyFill="1" applyBorder="1" applyAlignment="1">
      <alignment horizontal="center" vertical="center"/>
    </xf>
    <xf numFmtId="3" fontId="18" fillId="25"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18" fillId="7" borderId="5" xfId="0" applyFont="1"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5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ساله'!$A$155:$A$169</c:f>
              <c:strCache>
                <c:ptCount val="1"/>
                <c:pt idx="0">
                  <c:v>وغدیر ومهان پتروآگاه شپدیس خودرو شتران شستا 1220 6014 4011 4010 4007 3012 3010 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xmlns:c16r2="http://schemas.microsoft.com/office/drawing/2015/06/chart">
              <c:ext xmlns:c15="http://schemas.microsoft.com/office/drawing/2012/chart" uri="{CE6537A1-D6FC-4f65-9D91-7224C49458BB}"/>
            </c:extLst>
          </c:dLbls>
          <c:cat>
            <c:strRef>
              <c:f>'برنامه 5 ساله'!$A$155:$A$169</c:f>
              <c:strCache>
                <c:ptCount val="15"/>
                <c:pt idx="0">
                  <c:v>وغدیر</c:v>
                </c:pt>
                <c:pt idx="1">
                  <c:v>ومهان</c:v>
                </c:pt>
                <c:pt idx="2">
                  <c:v>پتروآگاه</c:v>
                </c:pt>
                <c:pt idx="3">
                  <c:v>شپدیس</c:v>
                </c:pt>
                <c:pt idx="4">
                  <c:v>خودرو</c:v>
                </c:pt>
                <c:pt idx="5">
                  <c:v>شتران</c:v>
                </c:pt>
                <c:pt idx="6">
                  <c:v>شستا</c:v>
                </c:pt>
                <c:pt idx="7">
                  <c:v>1220</c:v>
                </c:pt>
                <c:pt idx="8">
                  <c:v>6014</c:v>
                </c:pt>
                <c:pt idx="9">
                  <c:v>4011</c:v>
                </c:pt>
                <c:pt idx="10">
                  <c:v>4010</c:v>
                </c:pt>
                <c:pt idx="11">
                  <c:v>4007</c:v>
                </c:pt>
                <c:pt idx="12">
                  <c:v>3012</c:v>
                </c:pt>
                <c:pt idx="13">
                  <c:v>3010</c:v>
                </c:pt>
                <c:pt idx="14">
                  <c:v>پول نقد</c:v>
                </c:pt>
              </c:strCache>
            </c:strRef>
          </c:cat>
          <c:val>
            <c:numRef>
              <c:f>'برنامه 5 ساله'!$C$155:$C$169</c:f>
              <c:numCache>
                <c:formatCode>\ت\و\م\ا\ن\ #,##0\ </c:formatCode>
                <c:ptCount val="15"/>
                <c:pt idx="0">
                  <c:v>5028134265</c:v>
                </c:pt>
                <c:pt idx="1">
                  <c:v>19660000</c:v>
                </c:pt>
                <c:pt idx="2">
                  <c:v>6441500000</c:v>
                </c:pt>
                <c:pt idx="3">
                  <c:v>142829400</c:v>
                </c:pt>
                <c:pt idx="4">
                  <c:v>0</c:v>
                </c:pt>
                <c:pt idx="5">
                  <c:v>181200000</c:v>
                </c:pt>
                <c:pt idx="6">
                  <c:v>11747074596</c:v>
                </c:pt>
                <c:pt idx="7">
                  <c:v>1370174000</c:v>
                </c:pt>
                <c:pt idx="8">
                  <c:v>229520000</c:v>
                </c:pt>
                <c:pt idx="9">
                  <c:v>363306000</c:v>
                </c:pt>
                <c:pt idx="10">
                  <c:v>13590000</c:v>
                </c:pt>
                <c:pt idx="11">
                  <c:v>156587000</c:v>
                </c:pt>
                <c:pt idx="12">
                  <c:v>102060000</c:v>
                </c:pt>
                <c:pt idx="13">
                  <c:v>3034647000</c:v>
                </c:pt>
                <c:pt idx="14">
                  <c:v>1045674145</c:v>
                </c:pt>
              </c:numCache>
            </c:numRef>
          </c:val>
          <c:extLst xmlns:c16r2="http://schemas.microsoft.com/office/drawing/2015/06/char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171</xdr:row>
      <xdr:rowOff>112058</xdr:rowOff>
    </xdr:from>
    <xdr:to>
      <xdr:col>5</xdr:col>
      <xdr:colOff>168088</xdr:colOff>
      <xdr:row>206</xdr:row>
      <xdr:rowOff>78441</xdr:rowOff>
    </xdr:to>
    <xdr:graphicFrame macro="">
      <xdr:nvGraphicFramePr>
        <xdr:cNvPr id="4" name="Chart 3">
          <a:extLst>
            <a:ext uri="{FF2B5EF4-FFF2-40B4-BE49-F238E27FC236}">
              <a16:creationId xmlns:a16="http://schemas.microsoft.com/office/drawing/2014/main" xmlns=""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B697"/>
  <sheetViews>
    <sheetView zoomScale="85" zoomScaleNormal="85" workbookViewId="0">
      <selection activeCell="H13" sqref="H13"/>
    </sheetView>
  </sheetViews>
  <sheetFormatPr defaultRowHeight="15"/>
  <cols>
    <col min="1" max="1" width="35.28515625" bestFit="1" customWidth="1"/>
    <col min="2" max="2" width="22.140625" bestFit="1" customWidth="1"/>
    <col min="3" max="3" width="27.28515625" bestFit="1" customWidth="1"/>
    <col min="4" max="4" width="15.28515625" bestFit="1" customWidth="1"/>
    <col min="5" max="5" width="20.140625" customWidth="1"/>
    <col min="6" max="6" width="12.710937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5"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8" t="s">
        <v>6669</v>
      </c>
      <c r="B1" s="371">
        <v>122</v>
      </c>
      <c r="C1" s="368"/>
      <c r="D1" s="368"/>
      <c r="E1" s="368">
        <f>B1*100/$C$64</f>
        <v>3.9894965168790925E-7</v>
      </c>
      <c r="F1" s="11"/>
      <c r="G1" s="280" t="s">
        <v>4406</v>
      </c>
      <c r="H1" s="1">
        <f>SUM(B42:B61)</f>
        <v>15835745958</v>
      </c>
      <c r="J1" s="207" t="s">
        <v>4315</v>
      </c>
      <c r="K1" s="207" t="s">
        <v>4326</v>
      </c>
      <c r="L1" s="207" t="s">
        <v>4327</v>
      </c>
      <c r="M1" s="361" t="s">
        <v>25</v>
      </c>
      <c r="N1" s="361" t="s">
        <v>25</v>
      </c>
      <c r="V1" t="s">
        <v>25</v>
      </c>
      <c r="Z1" t="s">
        <v>25</v>
      </c>
      <c r="AA1" t="s">
        <v>25</v>
      </c>
    </row>
    <row r="2" spans="1:27">
      <c r="A2" s="368" t="s">
        <v>6670</v>
      </c>
      <c r="B2" s="371">
        <f>C2*D2</f>
        <v>4269384</v>
      </c>
      <c r="C2" s="378">
        <v>1576</v>
      </c>
      <c r="D2" s="368">
        <f>D42</f>
        <v>2709</v>
      </c>
      <c r="E2" s="368">
        <f>B2*100/$C$64</f>
        <v>1.3961223440343711E-2</v>
      </c>
      <c r="F2" s="11">
        <v>370360</v>
      </c>
      <c r="G2" s="361" t="s">
        <v>4318</v>
      </c>
      <c r="H2" s="1">
        <f>SUM(B19:B30)</f>
        <v>9848921535</v>
      </c>
      <c r="I2">
        <f t="shared" ref="I2:I7" si="0">K2-$K$10</f>
        <v>1481848</v>
      </c>
      <c r="J2" s="207" t="s">
        <v>690</v>
      </c>
      <c r="K2" s="207">
        <v>1481848</v>
      </c>
      <c r="L2" s="277">
        <f>K2*$O$510</f>
        <v>9449171681.5079746</v>
      </c>
      <c r="M2" s="361">
        <f t="shared" ref="M2:M7" si="1">L2*100/$L$10</f>
        <v>32.22138580087055</v>
      </c>
      <c r="N2" s="1">
        <f t="shared" ref="N2:N7" si="2">M2*0.01*$N$10</f>
        <v>345573130.24632978</v>
      </c>
    </row>
    <row r="3" spans="1:27">
      <c r="A3" s="368" t="s">
        <v>6671</v>
      </c>
      <c r="B3" s="371">
        <f>C3*D3</f>
        <v>0</v>
      </c>
      <c r="C3" s="378">
        <v>0</v>
      </c>
      <c r="D3" s="368">
        <f>D43</f>
        <v>983</v>
      </c>
      <c r="E3" s="368">
        <f>B3*100/$C$64</f>
        <v>0</v>
      </c>
      <c r="F3" s="11"/>
      <c r="G3" s="361" t="s">
        <v>4319</v>
      </c>
      <c r="H3" s="1">
        <f>SUM(B33:B39)</f>
        <v>1103043282</v>
      </c>
      <c r="I3">
        <f t="shared" si="0"/>
        <v>2571247</v>
      </c>
      <c r="J3" s="207" t="s">
        <v>4317</v>
      </c>
      <c r="K3" s="207">
        <v>2571247</v>
      </c>
      <c r="L3" s="277">
        <f t="shared" ref="L3:L7" si="3">K3*$O$510</f>
        <v>16395847845.772532</v>
      </c>
      <c r="M3" s="361">
        <f t="shared" si="1"/>
        <v>55.909338593655349</v>
      </c>
      <c r="N3" s="1">
        <f t="shared" si="2"/>
        <v>599625517.88475251</v>
      </c>
    </row>
    <row r="4" spans="1:27">
      <c r="A4" s="368" t="s">
        <v>6924</v>
      </c>
      <c r="B4" s="371">
        <f>C4*D4</f>
        <v>0</v>
      </c>
      <c r="C4" s="378">
        <v>0</v>
      </c>
      <c r="D4" s="368">
        <f>D55</f>
        <v>1300</v>
      </c>
      <c r="E4" s="368">
        <f>B4*100/$C$64</f>
        <v>0</v>
      </c>
      <c r="F4" s="11"/>
      <c r="G4" s="361" t="s">
        <v>6857</v>
      </c>
      <c r="H4" s="1">
        <f>SUM(B9:B16)</f>
        <v>2012990600</v>
      </c>
      <c r="I4">
        <f t="shared" si="0"/>
        <v>41446</v>
      </c>
      <c r="J4" s="207" t="s">
        <v>4316</v>
      </c>
      <c r="K4" s="207">
        <v>41446</v>
      </c>
      <c r="L4" s="277">
        <f t="shared" si="3"/>
        <v>264285115.28293017</v>
      </c>
      <c r="M4" s="361">
        <f t="shared" si="1"/>
        <v>0.9012041423296322</v>
      </c>
      <c r="N4" s="1">
        <f t="shared" si="2"/>
        <v>9665379.9554268606</v>
      </c>
    </row>
    <row r="5" spans="1:27">
      <c r="A5" s="368" t="s">
        <v>6965</v>
      </c>
      <c r="B5" s="371">
        <f>C5*D5</f>
        <v>191498502</v>
      </c>
      <c r="C5" s="378">
        <v>1268202</v>
      </c>
      <c r="D5" s="368">
        <f>D46</f>
        <v>151</v>
      </c>
      <c r="E5" s="368">
        <f>B5*100/$C$64</f>
        <v>0.62621525140701961</v>
      </c>
      <c r="F5" s="11"/>
      <c r="G5" s="361" t="s">
        <v>6858</v>
      </c>
      <c r="H5" s="1">
        <f>SUM(B2:B6)</f>
        <v>718680886</v>
      </c>
      <c r="I5">
        <f t="shared" si="0"/>
        <v>123285</v>
      </c>
      <c r="J5" s="207" t="s">
        <v>1005</v>
      </c>
      <c r="K5" s="207">
        <v>123285</v>
      </c>
      <c r="L5" s="277">
        <f t="shared" si="3"/>
        <v>786140772.03242886</v>
      </c>
      <c r="M5" s="361">
        <f t="shared" si="1"/>
        <v>2.6807159360881316</v>
      </c>
      <c r="N5" s="1">
        <f t="shared" si="2"/>
        <v>28750575.877160657</v>
      </c>
      <c r="T5" t="s">
        <v>25</v>
      </c>
      <c r="U5" t="s">
        <v>25</v>
      </c>
    </row>
    <row r="6" spans="1:27">
      <c r="A6" s="368" t="s">
        <v>6978</v>
      </c>
      <c r="B6" s="371">
        <f>C6*D6</f>
        <v>522913000</v>
      </c>
      <c r="C6" s="378">
        <v>3463000</v>
      </c>
      <c r="D6" s="368">
        <f>IF(D46&gt;180,180,D46)</f>
        <v>151</v>
      </c>
      <c r="E6" s="368"/>
      <c r="F6" s="11"/>
      <c r="G6" s="361" t="s">
        <v>4320</v>
      </c>
      <c r="H6" s="1">
        <f>B41</f>
        <v>777773683</v>
      </c>
      <c r="I6" s="385">
        <f t="shared" si="0"/>
        <v>287123</v>
      </c>
      <c r="J6" s="207" t="s">
        <v>5282</v>
      </c>
      <c r="K6" s="207">
        <v>287123</v>
      </c>
      <c r="L6" s="277">
        <f t="shared" si="3"/>
        <v>1830872343.6611679</v>
      </c>
      <c r="M6" s="393">
        <f t="shared" si="1"/>
        <v>6.2432185725549143</v>
      </c>
      <c r="N6" s="1">
        <f t="shared" si="2"/>
        <v>66958280.387541056</v>
      </c>
    </row>
    <row r="7" spans="1:27">
      <c r="G7" s="361" t="s">
        <v>4321</v>
      </c>
      <c r="H7" s="1">
        <f>B18</f>
        <v>261659971</v>
      </c>
      <c r="I7" s="385">
        <f t="shared" si="0"/>
        <v>94009</v>
      </c>
      <c r="J7" s="207" t="s">
        <v>6856</v>
      </c>
      <c r="K7" s="207">
        <v>94009</v>
      </c>
      <c r="L7" s="277">
        <f t="shared" si="3"/>
        <v>599459040.74296629</v>
      </c>
      <c r="M7" s="393">
        <f t="shared" si="1"/>
        <v>2.044136954501433</v>
      </c>
      <c r="N7" s="1">
        <f t="shared" si="2"/>
        <v>21923290.648789357</v>
      </c>
      <c r="T7" t="s">
        <v>25</v>
      </c>
    </row>
    <row r="8" spans="1:27">
      <c r="A8" s="366" t="s">
        <v>6594</v>
      </c>
      <c r="B8" s="475">
        <v>6000060</v>
      </c>
      <c r="C8" s="379"/>
      <c r="D8" s="475"/>
      <c r="E8" s="442">
        <f>B8*100/$C$64</f>
        <v>1.9620670877922596E-2</v>
      </c>
      <c r="F8" s="11"/>
      <c r="G8" s="361" t="s">
        <v>4322</v>
      </c>
      <c r="H8" s="1">
        <f>B32</f>
        <v>240309</v>
      </c>
      <c r="I8" t="s">
        <v>25</v>
      </c>
      <c r="J8" s="207"/>
      <c r="K8" s="207"/>
      <c r="L8" s="207"/>
      <c r="M8" s="361"/>
      <c r="N8" s="361" t="s">
        <v>25</v>
      </c>
      <c r="U8" t="s">
        <v>25</v>
      </c>
    </row>
    <row r="9" spans="1:27">
      <c r="A9" s="366" t="s">
        <v>6595</v>
      </c>
      <c r="B9" s="475">
        <f t="shared" ref="B9:B16" si="4">C9*D9</f>
        <v>6203610</v>
      </c>
      <c r="C9" s="379">
        <v>2290</v>
      </c>
      <c r="D9" s="475">
        <f>D42</f>
        <v>2709</v>
      </c>
      <c r="E9" s="442">
        <f>B9*100/$C$64</f>
        <v>2.0286295481210088E-2</v>
      </c>
      <c r="F9" s="11">
        <v>538150</v>
      </c>
      <c r="G9" s="361" t="s">
        <v>6859</v>
      </c>
      <c r="H9" s="1">
        <f>B8</f>
        <v>6000060</v>
      </c>
      <c r="J9" s="207"/>
      <c r="K9" s="207">
        <f>SUM(K2:K7)</f>
        <v>4598958</v>
      </c>
      <c r="L9" s="207"/>
      <c r="M9" s="1" t="s">
        <v>25</v>
      </c>
      <c r="N9" s="361" t="s">
        <v>25</v>
      </c>
      <c r="U9" t="s">
        <v>25</v>
      </c>
    </row>
    <row r="10" spans="1:27">
      <c r="A10" s="366" t="s">
        <v>6596</v>
      </c>
      <c r="B10" s="475">
        <f t="shared" si="4"/>
        <v>0</v>
      </c>
      <c r="C10" s="379">
        <v>0</v>
      </c>
      <c r="D10" s="475">
        <f>D43</f>
        <v>983</v>
      </c>
      <c r="E10" s="442">
        <f>B10*100/$C$64</f>
        <v>0</v>
      </c>
      <c r="F10" s="11"/>
      <c r="G10" s="361" t="s">
        <v>6860</v>
      </c>
      <c r="H10" s="1">
        <f>B1</f>
        <v>122</v>
      </c>
      <c r="I10" t="s">
        <v>25</v>
      </c>
      <c r="J10" s="207"/>
      <c r="K10" s="207">
        <f>K9-P507</f>
        <v>0</v>
      </c>
      <c r="L10" s="277">
        <f>SUM(L2:L7)</f>
        <v>29325776798.999996</v>
      </c>
      <c r="M10" s="361" t="s">
        <v>25</v>
      </c>
      <c r="N10" s="1">
        <v>1072496175</v>
      </c>
    </row>
    <row r="11" spans="1:27" ht="18" customHeight="1">
      <c r="A11" s="366" t="s">
        <v>6925</v>
      </c>
      <c r="B11" s="475">
        <f t="shared" si="4"/>
        <v>0</v>
      </c>
      <c r="C11" s="379">
        <v>0</v>
      </c>
      <c r="D11" s="475">
        <f>D55</f>
        <v>1300</v>
      </c>
      <c r="E11" s="442">
        <f>B11*100/$C$64</f>
        <v>0</v>
      </c>
      <c r="F11" s="205"/>
      <c r="G11" s="361" t="s">
        <v>4615</v>
      </c>
      <c r="H11" s="1">
        <f>F2+F9+F19+F33+F42</f>
        <v>15243510</v>
      </c>
      <c r="I11" t="s">
        <v>25</v>
      </c>
      <c r="J11" s="207"/>
      <c r="K11" s="207" t="s">
        <v>5608</v>
      </c>
      <c r="L11" s="277">
        <f>H3+H8-L5</f>
        <v>317142818.96757114</v>
      </c>
      <c r="M11" s="361">
        <f>L11/L4</f>
        <v>1.2000025753552341</v>
      </c>
      <c r="N11" s="361" t="s">
        <v>25</v>
      </c>
      <c r="P11" t="s">
        <v>25</v>
      </c>
    </row>
    <row r="12" spans="1:27">
      <c r="A12" s="366" t="s">
        <v>4716</v>
      </c>
      <c r="B12" s="475">
        <f t="shared" si="4"/>
        <v>142829400</v>
      </c>
      <c r="C12" s="379">
        <v>6582</v>
      </c>
      <c r="D12" s="475">
        <f>'خرید و فروش نسبتی'!O62</f>
        <v>21700</v>
      </c>
      <c r="E12" s="442">
        <f>B12*100/$C$64</f>
        <v>0.46706343754748414</v>
      </c>
      <c r="F12" s="358"/>
      <c r="G12" s="361" t="s">
        <v>4922</v>
      </c>
      <c r="H12" s="1">
        <v>0</v>
      </c>
      <c r="I12" t="s">
        <v>25</v>
      </c>
      <c r="J12" s="207"/>
      <c r="K12" s="207" t="s">
        <v>5607</v>
      </c>
      <c r="L12" s="277">
        <f>L4-L11</f>
        <v>-52857703.684640974</v>
      </c>
      <c r="M12" s="361">
        <f>L12/L4</f>
        <v>-0.20000257535523411</v>
      </c>
      <c r="N12" s="361"/>
      <c r="U12" t="s">
        <v>25</v>
      </c>
    </row>
    <row r="13" spans="1:27">
      <c r="A13" s="345" t="s">
        <v>6966</v>
      </c>
      <c r="B13" s="475">
        <f>C13*D13</f>
        <v>261998590</v>
      </c>
      <c r="C13" s="379">
        <v>1735090</v>
      </c>
      <c r="D13" s="475">
        <f>D46</f>
        <v>151</v>
      </c>
      <c r="E13" s="442">
        <f>B13*100/$C$64</f>
        <v>0.85675611658379791</v>
      </c>
      <c r="F13" s="358"/>
      <c r="G13" s="361" t="s">
        <v>6791</v>
      </c>
      <c r="H13" s="1">
        <f>-156009474-63*D42</f>
        <v>-156180141</v>
      </c>
      <c r="J13" s="207"/>
      <c r="K13" s="207" t="s">
        <v>6895</v>
      </c>
      <c r="L13" s="277">
        <f>H2+H7-L2-L12</f>
        <v>714267528.17666638</v>
      </c>
      <c r="M13" s="361">
        <f t="shared" ref="M13:M15" si="5">L13/L5</f>
        <v>0.90857458814921044</v>
      </c>
      <c r="N13" s="361" t="s">
        <v>25</v>
      </c>
      <c r="T13" s="35"/>
    </row>
    <row r="14" spans="1:27" ht="45">
      <c r="A14" s="345" t="s">
        <v>6978</v>
      </c>
      <c r="B14" s="475">
        <f t="shared" ref="B14:B15" si="6">C14*D14</f>
        <v>268176000</v>
      </c>
      <c r="C14" s="379">
        <v>1776000</v>
      </c>
      <c r="D14" s="475">
        <f>IF(D46&gt;180,180,D46)</f>
        <v>151</v>
      </c>
      <c r="E14" s="442"/>
      <c r="F14" s="358"/>
      <c r="G14" s="280" t="s">
        <v>6969</v>
      </c>
      <c r="H14" s="1">
        <f>-6160241*D46-116042374</f>
        <v>-1046238765</v>
      </c>
      <c r="J14" s="207"/>
      <c r="K14" s="207" t="s">
        <v>6894</v>
      </c>
      <c r="L14" s="277">
        <f>H4+H9-L6</f>
        <v>188118316.33883214</v>
      </c>
      <c r="M14" s="361">
        <f t="shared" si="5"/>
        <v>0.10274791521655452</v>
      </c>
      <c r="N14" s="11" t="s">
        <v>25</v>
      </c>
      <c r="T14" s="35"/>
    </row>
    <row r="15" spans="1:27">
      <c r="A15" s="345" t="s">
        <v>7005</v>
      </c>
      <c r="B15" s="475">
        <f t="shared" si="6"/>
        <v>141940000</v>
      </c>
      <c r="C15" s="379">
        <v>940000</v>
      </c>
      <c r="D15" s="475">
        <f>IF(D46&gt;180,180,D46)</f>
        <v>151</v>
      </c>
      <c r="E15" s="442"/>
      <c r="F15" s="358"/>
      <c r="G15" s="361" t="s">
        <v>6875</v>
      </c>
      <c r="H15" s="1">
        <f>-345061*D46</f>
        <v>-52104211</v>
      </c>
      <c r="J15" s="207"/>
      <c r="K15" s="207" t="s">
        <v>6896</v>
      </c>
      <c r="L15" s="277">
        <f>H5+H10-L7</f>
        <v>119221967.25703371</v>
      </c>
      <c r="M15" s="361">
        <f t="shared" si="5"/>
        <v>0.19888259105955036</v>
      </c>
      <c r="N15" s="11" t="s">
        <v>25</v>
      </c>
      <c r="T15" s="76"/>
    </row>
    <row r="16" spans="1:27">
      <c r="A16" s="366" t="s">
        <v>6975</v>
      </c>
      <c r="B16" s="475">
        <f t="shared" si="4"/>
        <v>1191843000</v>
      </c>
      <c r="C16" s="379">
        <v>7893000</v>
      </c>
      <c r="D16" s="475">
        <f>IF(D46&gt;160,160,D46)</f>
        <v>151</v>
      </c>
      <c r="E16" s="442"/>
      <c r="F16" s="358"/>
      <c r="G16" s="361" t="s">
        <v>4923</v>
      </c>
      <c r="H16" s="1">
        <v>0</v>
      </c>
      <c r="K16" s="480"/>
      <c r="L16" s="480"/>
      <c r="S16" s="76"/>
      <c r="T16" s="76"/>
      <c r="U16" t="s">
        <v>25</v>
      </c>
    </row>
    <row r="17" spans="1:47">
      <c r="A17" s="19"/>
      <c r="B17" s="37"/>
      <c r="C17" s="349"/>
      <c r="D17" s="19"/>
      <c r="E17" s="368">
        <f>B17*100/$C$64</f>
        <v>0</v>
      </c>
      <c r="F17" s="205"/>
      <c r="G17" s="361" t="s">
        <v>4324</v>
      </c>
      <c r="H17" s="1">
        <f>SUM(H1:H16)</f>
        <v>29325776799</v>
      </c>
      <c r="K17" s="480"/>
      <c r="L17" s="480"/>
      <c r="S17" s="35"/>
      <c r="T17" s="35"/>
      <c r="V17" t="s">
        <v>25</v>
      </c>
      <c r="AC17" t="s">
        <v>25</v>
      </c>
    </row>
    <row r="18" spans="1:47">
      <c r="A18" s="369" t="s">
        <v>6775</v>
      </c>
      <c r="B18" s="370">
        <v>261659971</v>
      </c>
      <c r="C18" s="380" t="s">
        <v>857</v>
      </c>
      <c r="D18" s="369" t="s">
        <v>3843</v>
      </c>
      <c r="E18" s="368">
        <f>B18*100/$C$64</f>
        <v>0.8556488056649052</v>
      </c>
      <c r="F18" s="205"/>
      <c r="G18" s="480"/>
      <c r="H18" s="480"/>
      <c r="K18" s="480"/>
      <c r="L18" s="361" t="s">
        <v>8</v>
      </c>
      <c r="M18" s="361" t="s">
        <v>4316</v>
      </c>
      <c r="N18" s="2"/>
      <c r="O18" s="361" t="s">
        <v>180</v>
      </c>
      <c r="P18" s="361" t="s">
        <v>4338</v>
      </c>
      <c r="Q18" s="361" t="s">
        <v>4339</v>
      </c>
      <c r="R18" s="361" t="s">
        <v>4349</v>
      </c>
      <c r="S18" s="361" t="s">
        <v>8</v>
      </c>
      <c r="T18" s="35"/>
    </row>
    <row r="19" spans="1:47" ht="18" customHeight="1">
      <c r="A19" s="369" t="s">
        <v>4188</v>
      </c>
      <c r="B19" s="370">
        <f t="shared" ref="B19:B30" si="7">C19*D19</f>
        <v>4980962448</v>
      </c>
      <c r="C19" s="380">
        <v>1838672</v>
      </c>
      <c r="D19" s="369">
        <f>D42</f>
        <v>2709</v>
      </c>
      <c r="E19" s="368">
        <f>B19*100/$C$64</f>
        <v>16.288141259837342</v>
      </c>
      <c r="F19" s="205">
        <v>11750000</v>
      </c>
      <c r="G19" s="480"/>
      <c r="H19" s="372"/>
      <c r="K19" s="480"/>
      <c r="L19" s="361"/>
      <c r="M19" s="280" t="s">
        <v>180</v>
      </c>
      <c r="N19" s="2" t="s">
        <v>267</v>
      </c>
      <c r="O19" s="1" t="s">
        <v>4325</v>
      </c>
      <c r="P19" s="361">
        <v>1000000</v>
      </c>
      <c r="Q19" s="1">
        <v>239.024</v>
      </c>
      <c r="R19" s="1">
        <f t="shared" ref="R19:R120" si="8">P19*Q19</f>
        <v>239024000</v>
      </c>
      <c r="S19" s="361"/>
      <c r="AA19" t="s">
        <v>25</v>
      </c>
      <c r="AI19" s="11" t="s">
        <v>3557</v>
      </c>
      <c r="AJ19" s="11" t="s">
        <v>180</v>
      </c>
      <c r="AK19" s="11" t="s">
        <v>267</v>
      </c>
      <c r="AL19" s="11" t="s">
        <v>3971</v>
      </c>
      <c r="AM19" s="11" t="s">
        <v>3963</v>
      </c>
      <c r="AN19" s="11" t="s">
        <v>282</v>
      </c>
      <c r="AO19" s="11" t="s">
        <v>422</v>
      </c>
    </row>
    <row r="20" spans="1:47" ht="17.25" customHeight="1">
      <c r="A20" s="369" t="s">
        <v>5140</v>
      </c>
      <c r="B20" s="370">
        <f t="shared" si="7"/>
        <v>9830000</v>
      </c>
      <c r="C20" s="380">
        <v>10000</v>
      </c>
      <c r="D20" s="369">
        <f>D43</f>
        <v>983</v>
      </c>
      <c r="E20" s="368">
        <f>B20*100/$C$64</f>
        <v>3.2144877672886457E-2</v>
      </c>
      <c r="F20" s="205"/>
      <c r="G20" s="372" t="s">
        <v>25</v>
      </c>
      <c r="H20" s="372"/>
      <c r="I20" s="372"/>
      <c r="K20" s="480"/>
      <c r="L20" s="361"/>
      <c r="M20" s="361" t="s">
        <v>4310</v>
      </c>
      <c r="N20" s="3">
        <v>3000000</v>
      </c>
      <c r="O20" s="361" t="s">
        <v>4310</v>
      </c>
      <c r="P20" s="361">
        <v>5904</v>
      </c>
      <c r="Q20" s="1">
        <v>237.148</v>
      </c>
      <c r="R20" s="1">
        <f t="shared" si="8"/>
        <v>1400121.7919999999</v>
      </c>
      <c r="S20" s="361" t="s">
        <v>690</v>
      </c>
      <c r="AI20" s="11">
        <v>1</v>
      </c>
      <c r="AJ20" s="3" t="s">
        <v>1026</v>
      </c>
      <c r="AK20" s="3">
        <v>18000000</v>
      </c>
      <c r="AL20" s="11">
        <v>1</v>
      </c>
      <c r="AM20" s="11">
        <f>AM21+AL20</f>
        <v>1452</v>
      </c>
      <c r="AN20" s="3">
        <f t="shared" ref="AN20:AO61" si="9">AK20*AM20</f>
        <v>26136000000</v>
      </c>
      <c r="AO20" s="11"/>
    </row>
    <row r="21" spans="1:47">
      <c r="A21" s="369" t="s">
        <v>5595</v>
      </c>
      <c r="B21" s="370">
        <f t="shared" si="7"/>
        <v>3666663087</v>
      </c>
      <c r="C21" s="380">
        <v>24282537</v>
      </c>
      <c r="D21" s="369">
        <f>'خرید و فروش نسبتی'!O52</f>
        <v>151</v>
      </c>
      <c r="E21" s="368">
        <f>B21*100/$C$64</f>
        <v>11.990278372258722</v>
      </c>
      <c r="F21" s="205"/>
      <c r="G21" s="372"/>
      <c r="H21" s="480"/>
      <c r="I21" s="360" t="s">
        <v>25</v>
      </c>
      <c r="J21" t="s">
        <v>25</v>
      </c>
      <c r="K21" s="480"/>
      <c r="L21" s="361"/>
      <c r="M21" s="361" t="s">
        <v>4350</v>
      </c>
      <c r="N21" s="3">
        <v>2000000</v>
      </c>
      <c r="O21" s="361" t="s">
        <v>4123</v>
      </c>
      <c r="P21" s="361">
        <v>1000</v>
      </c>
      <c r="Q21" s="1">
        <v>247.393</v>
      </c>
      <c r="R21" s="1">
        <f t="shared" si="8"/>
        <v>247393</v>
      </c>
      <c r="S21" s="361" t="s">
        <v>690</v>
      </c>
      <c r="AI21" s="11">
        <v>2</v>
      </c>
      <c r="AJ21" s="3" t="s">
        <v>1028</v>
      </c>
      <c r="AK21" s="3">
        <v>2500000</v>
      </c>
      <c r="AL21" s="11">
        <v>1</v>
      </c>
      <c r="AM21" s="11">
        <f t="shared" ref="AM21:AN60" si="10">AM22+AL21</f>
        <v>1451</v>
      </c>
      <c r="AN21" s="3">
        <f t="shared" si="9"/>
        <v>3627500000</v>
      </c>
      <c r="AO21" s="11"/>
    </row>
    <row r="22" spans="1:47">
      <c r="A22" s="369" t="s">
        <v>6978</v>
      </c>
      <c r="B22" s="370">
        <f t="shared" si="7"/>
        <v>303208000</v>
      </c>
      <c r="C22" s="380">
        <v>2008000</v>
      </c>
      <c r="D22" s="369">
        <f>IF(D46&gt;180,180,D46)</f>
        <v>151</v>
      </c>
      <c r="E22" s="368">
        <f>B22*100/$C$64</f>
        <v>0.99151414745071786</v>
      </c>
      <c r="F22" s="205"/>
      <c r="G22" s="480"/>
      <c r="H22" s="480"/>
      <c r="I22" s="360"/>
      <c r="K22" s="480"/>
      <c r="L22" s="361"/>
      <c r="M22" s="361" t="s">
        <v>4358</v>
      </c>
      <c r="N22" s="3">
        <v>1000000</v>
      </c>
      <c r="O22" s="208" t="s">
        <v>4350</v>
      </c>
      <c r="P22" s="208">
        <v>8071</v>
      </c>
      <c r="Q22" s="394">
        <v>247.797</v>
      </c>
      <c r="R22" s="394">
        <f t="shared" si="8"/>
        <v>1999969.5870000001</v>
      </c>
      <c r="S22" s="208" t="s">
        <v>4316</v>
      </c>
      <c r="AA22" t="s">
        <v>25</v>
      </c>
      <c r="AI22" s="11">
        <v>3</v>
      </c>
      <c r="AJ22" s="3" t="s">
        <v>1036</v>
      </c>
      <c r="AK22" s="3">
        <v>8000000</v>
      </c>
      <c r="AL22" s="11">
        <v>1</v>
      </c>
      <c r="AM22" s="11">
        <f t="shared" si="10"/>
        <v>1450</v>
      </c>
      <c r="AN22" s="3">
        <f t="shared" si="9"/>
        <v>11600000000</v>
      </c>
      <c r="AO22" s="11"/>
    </row>
    <row r="23" spans="1:47">
      <c r="A23" s="369" t="s">
        <v>7005</v>
      </c>
      <c r="B23" s="370">
        <f t="shared" si="7"/>
        <v>87580000</v>
      </c>
      <c r="C23" s="380">
        <v>580000</v>
      </c>
      <c r="D23" s="369">
        <f>IF(D46&gt;180,180,D46)</f>
        <v>151</v>
      </c>
      <c r="E23" s="368">
        <f>B23*100/$C$64</f>
        <v>0.28639352864612372</v>
      </c>
      <c r="F23" s="205"/>
      <c r="G23" s="2"/>
      <c r="H23" s="37"/>
      <c r="I23" t="s">
        <v>25</v>
      </c>
      <c r="J23" t="s">
        <v>25</v>
      </c>
      <c r="K23" s="480"/>
      <c r="L23" s="361"/>
      <c r="M23" s="361" t="s">
        <v>4361</v>
      </c>
      <c r="N23" s="3">
        <v>2000000</v>
      </c>
      <c r="O23" s="361" t="s">
        <v>4350</v>
      </c>
      <c r="P23" s="361">
        <v>53672</v>
      </c>
      <c r="Q23" s="1">
        <v>247.797</v>
      </c>
      <c r="R23" s="1">
        <f t="shared" si="8"/>
        <v>13299760.584000001</v>
      </c>
      <c r="S23" s="361" t="s">
        <v>422</v>
      </c>
      <c r="AA23" t="s">
        <v>25</v>
      </c>
      <c r="AB23" t="s">
        <v>25</v>
      </c>
      <c r="AI23" s="11">
        <v>4</v>
      </c>
      <c r="AJ23" s="3" t="s">
        <v>3967</v>
      </c>
      <c r="AK23" s="3">
        <v>-79552</v>
      </c>
      <c r="AL23" s="11">
        <v>1</v>
      </c>
      <c r="AM23" s="11">
        <f t="shared" si="10"/>
        <v>1449</v>
      </c>
      <c r="AN23" s="3">
        <f t="shared" si="9"/>
        <v>-115270848</v>
      </c>
      <c r="AO23" s="11"/>
    </row>
    <row r="24" spans="1:47">
      <c r="A24" s="369" t="s">
        <v>6989</v>
      </c>
      <c r="B24" s="370">
        <f t="shared" si="7"/>
        <v>13590000</v>
      </c>
      <c r="C24" s="380">
        <v>90000</v>
      </c>
      <c r="D24" s="369">
        <f>IF(D46&gt;190,190,D46)</f>
        <v>151</v>
      </c>
      <c r="E24" s="368">
        <f>B24*100/$C$64</f>
        <v>4.4440375134743332E-2</v>
      </c>
      <c r="F24" s="205"/>
      <c r="G24" s="2" t="s">
        <v>6472</v>
      </c>
      <c r="H24" s="37">
        <f>-'فروردین 98'!D176</f>
        <v>3846463</v>
      </c>
      <c r="I24" t="s">
        <v>25</v>
      </c>
      <c r="K24" s="480"/>
      <c r="L24" s="361"/>
      <c r="M24" s="361" t="s">
        <v>914</v>
      </c>
      <c r="N24" s="3">
        <v>3000000</v>
      </c>
      <c r="O24" s="208" t="s">
        <v>4358</v>
      </c>
      <c r="P24" s="208">
        <v>4099</v>
      </c>
      <c r="Q24" s="394">
        <v>243.93</v>
      </c>
      <c r="R24" s="394">
        <f t="shared" si="8"/>
        <v>999869.07000000007</v>
      </c>
      <c r="S24" s="208" t="s">
        <v>4316</v>
      </c>
      <c r="AA24" t="s">
        <v>25</v>
      </c>
      <c r="AI24" s="11">
        <v>5</v>
      </c>
      <c r="AJ24" s="3" t="s">
        <v>1048</v>
      </c>
      <c r="AK24" s="3">
        <v>165500</v>
      </c>
      <c r="AL24" s="11">
        <v>12</v>
      </c>
      <c r="AM24" s="11">
        <f t="shared" si="10"/>
        <v>1448</v>
      </c>
      <c r="AN24" s="3">
        <f t="shared" si="9"/>
        <v>239644000</v>
      </c>
      <c r="AO24" s="11"/>
    </row>
    <row r="25" spans="1:47">
      <c r="A25" s="369" t="s">
        <v>7006</v>
      </c>
      <c r="B25" s="370">
        <f t="shared" si="7"/>
        <v>102060000</v>
      </c>
      <c r="C25" s="380">
        <v>567000</v>
      </c>
      <c r="D25" s="369">
        <f>IF(D44&gt;180,180,D44)</f>
        <v>180</v>
      </c>
      <c r="E25" s="368">
        <f>B25*100/$C$64</f>
        <v>0.33374427419072145</v>
      </c>
      <c r="F25" s="205"/>
      <c r="G25" s="2" t="s">
        <v>4328</v>
      </c>
      <c r="H25" s="37">
        <f>-L13</f>
        <v>-714267528.17666638</v>
      </c>
      <c r="I25" t="s">
        <v>25</v>
      </c>
      <c r="J25" t="s">
        <v>25</v>
      </c>
      <c r="K25" s="480"/>
      <c r="L25" s="361"/>
      <c r="M25" s="361" t="s">
        <v>4475</v>
      </c>
      <c r="N25" s="3">
        <v>3000000</v>
      </c>
      <c r="O25" s="361" t="s">
        <v>4358</v>
      </c>
      <c r="P25" s="361">
        <v>9301</v>
      </c>
      <c r="Q25" s="1">
        <v>243.93</v>
      </c>
      <c r="R25" s="1">
        <f t="shared" si="8"/>
        <v>2268792.9300000002</v>
      </c>
      <c r="S25" s="361" t="s">
        <v>422</v>
      </c>
      <c r="AB25" t="s">
        <v>25</v>
      </c>
      <c r="AI25" s="11">
        <v>6</v>
      </c>
      <c r="AJ25" s="3" t="s">
        <v>1072</v>
      </c>
      <c r="AK25" s="3">
        <v>-28830327</v>
      </c>
      <c r="AL25" s="11">
        <v>6</v>
      </c>
      <c r="AM25" s="11">
        <f t="shared" si="10"/>
        <v>1436</v>
      </c>
      <c r="AN25" s="3">
        <f t="shared" si="9"/>
        <v>-41400349572</v>
      </c>
      <c r="AO25" s="11"/>
    </row>
    <row r="26" spans="1:47">
      <c r="A26" s="369" t="s">
        <v>6975</v>
      </c>
      <c r="B26" s="370">
        <f t="shared" si="7"/>
        <v>664320000</v>
      </c>
      <c r="C26" s="380">
        <v>4152000</v>
      </c>
      <c r="D26" s="369">
        <f>IF(D44&gt;160,160,D44)</f>
        <v>160</v>
      </c>
      <c r="E26" s="368">
        <f>B26*100/$C$64</f>
        <v>2.1723789558140316</v>
      </c>
      <c r="F26" s="205"/>
      <c r="G26" s="2"/>
      <c r="H26" s="37"/>
      <c r="I26" t="s">
        <v>25</v>
      </c>
      <c r="J26" t="s">
        <v>25</v>
      </c>
      <c r="K26" s="480"/>
      <c r="L26" s="361" t="s">
        <v>4632</v>
      </c>
      <c r="M26" s="361" t="s">
        <v>4627</v>
      </c>
      <c r="N26" s="3">
        <v>-800000</v>
      </c>
      <c r="O26" s="208" t="s">
        <v>4361</v>
      </c>
      <c r="P26" s="208">
        <v>8334</v>
      </c>
      <c r="Q26" s="394">
        <v>239.97</v>
      </c>
      <c r="R26" s="394">
        <f t="shared" si="8"/>
        <v>1999909.98</v>
      </c>
      <c r="S26" s="208" t="s">
        <v>4316</v>
      </c>
      <c r="AC26" t="s">
        <v>25</v>
      </c>
      <c r="AI26" s="11">
        <v>7</v>
      </c>
      <c r="AJ26" s="3" t="s">
        <v>1097</v>
      </c>
      <c r="AK26" s="3">
        <v>18500000</v>
      </c>
      <c r="AL26" s="11">
        <v>1</v>
      </c>
      <c r="AM26" s="11">
        <f t="shared" si="10"/>
        <v>1430</v>
      </c>
      <c r="AN26" s="3">
        <f t="shared" si="9"/>
        <v>26455000000</v>
      </c>
      <c r="AO26" s="11"/>
    </row>
    <row r="27" spans="1:47">
      <c r="A27" s="558" t="s">
        <v>6998</v>
      </c>
      <c r="B27" s="370">
        <f t="shared" si="7"/>
        <v>3720000</v>
      </c>
      <c r="C27" s="380">
        <v>120000</v>
      </c>
      <c r="D27" s="369">
        <v>31</v>
      </c>
      <c r="E27" s="368">
        <f>B27*100/$C$64</f>
        <v>1.2164694297369036E-2</v>
      </c>
      <c r="F27" s="205"/>
      <c r="G27" s="2" t="s">
        <v>842</v>
      </c>
      <c r="H27" s="37">
        <v>4800000</v>
      </c>
      <c r="I27" s="372" t="s">
        <v>25</v>
      </c>
      <c r="J27" t="s">
        <v>25</v>
      </c>
      <c r="K27" s="480"/>
      <c r="L27" s="361" t="s">
        <v>4633</v>
      </c>
      <c r="M27" s="361" t="s">
        <v>4627</v>
      </c>
      <c r="N27" s="3">
        <v>-900000</v>
      </c>
      <c r="O27" s="361" t="s">
        <v>4122</v>
      </c>
      <c r="P27" s="361">
        <v>29041</v>
      </c>
      <c r="Q27" s="1">
        <v>233.45</v>
      </c>
      <c r="R27" s="1">
        <f t="shared" si="8"/>
        <v>6779621.4499999993</v>
      </c>
      <c r="S27" s="361" t="s">
        <v>690</v>
      </c>
      <c r="AI27" s="11">
        <v>8</v>
      </c>
      <c r="AJ27" s="3" t="s">
        <v>1106</v>
      </c>
      <c r="AK27" s="3">
        <v>-18550000</v>
      </c>
      <c r="AL27" s="11">
        <v>1</v>
      </c>
      <c r="AM27" s="11">
        <f t="shared" si="10"/>
        <v>1429</v>
      </c>
      <c r="AN27" s="3">
        <f t="shared" si="9"/>
        <v>-26507950000</v>
      </c>
      <c r="AO27" s="11"/>
    </row>
    <row r="28" spans="1:47">
      <c r="A28" s="558" t="s">
        <v>6999</v>
      </c>
      <c r="B28" s="370">
        <f t="shared" si="7"/>
        <v>16988000</v>
      </c>
      <c r="C28" s="380">
        <v>548000</v>
      </c>
      <c r="D28" s="369">
        <v>31</v>
      </c>
      <c r="E28" s="368">
        <f>B28*100/$C$64</f>
        <v>5.5552103957985266E-2</v>
      </c>
      <c r="F28" s="205"/>
      <c r="G28" s="2"/>
      <c r="H28" s="37"/>
      <c r="I28" s="372" t="s">
        <v>25</v>
      </c>
      <c r="J28" t="s">
        <v>25</v>
      </c>
      <c r="K28" s="480"/>
      <c r="L28" s="361" t="s">
        <v>4633</v>
      </c>
      <c r="M28" s="361" t="s">
        <v>901</v>
      </c>
      <c r="N28" s="3">
        <v>-1100000</v>
      </c>
      <c r="O28" s="208" t="s">
        <v>914</v>
      </c>
      <c r="P28" s="208">
        <v>12337</v>
      </c>
      <c r="Q28" s="394">
        <v>243.16300000000001</v>
      </c>
      <c r="R28" s="394">
        <f t="shared" si="8"/>
        <v>2999901.9310000003</v>
      </c>
      <c r="S28" s="208" t="s">
        <v>4316</v>
      </c>
      <c r="AA28" t="s">
        <v>25</v>
      </c>
      <c r="AI28" s="11">
        <v>9</v>
      </c>
      <c r="AJ28" s="3" t="s">
        <v>1113</v>
      </c>
      <c r="AK28" s="3">
        <v>-64961</v>
      </c>
      <c r="AL28" s="11">
        <v>5</v>
      </c>
      <c r="AM28" s="11">
        <f t="shared" si="10"/>
        <v>1428</v>
      </c>
      <c r="AN28" s="3">
        <f t="shared" si="9"/>
        <v>-92764308</v>
      </c>
      <c r="AO28" s="11"/>
    </row>
    <row r="29" spans="1:47">
      <c r="A29" s="369" t="s">
        <v>4542</v>
      </c>
      <c r="B29" s="370">
        <f t="shared" si="7"/>
        <v>0</v>
      </c>
      <c r="C29" s="380">
        <v>0</v>
      </c>
      <c r="D29" s="369">
        <f>D44</f>
        <v>697</v>
      </c>
      <c r="E29" s="368">
        <f>B29*100/$C$64</f>
        <v>0</v>
      </c>
      <c r="F29" s="205"/>
      <c r="G29" s="2"/>
      <c r="H29" s="37"/>
      <c r="I29" s="372" t="s">
        <v>25</v>
      </c>
      <c r="J29" s="500"/>
      <c r="K29" s="480"/>
      <c r="L29" s="392" t="s">
        <v>1005</v>
      </c>
      <c r="M29" s="392" t="s">
        <v>4655</v>
      </c>
      <c r="N29" s="136">
        <v>30000000</v>
      </c>
      <c r="O29" s="361" t="s">
        <v>4422</v>
      </c>
      <c r="P29" s="361">
        <v>-16118</v>
      </c>
      <c r="Q29" s="1">
        <v>248.17</v>
      </c>
      <c r="R29" s="1">
        <f t="shared" si="8"/>
        <v>-4000004.0599999996</v>
      </c>
      <c r="S29" s="361" t="s">
        <v>690</v>
      </c>
      <c r="AI29" s="11">
        <v>10</v>
      </c>
      <c r="AJ29" s="3" t="s">
        <v>1129</v>
      </c>
      <c r="AK29" s="3">
        <v>6400000</v>
      </c>
      <c r="AL29" s="11">
        <v>1</v>
      </c>
      <c r="AM29" s="11">
        <f t="shared" si="10"/>
        <v>1423</v>
      </c>
      <c r="AN29" s="3">
        <f t="shared" si="9"/>
        <v>9107200000</v>
      </c>
      <c r="AO29" s="11"/>
    </row>
    <row r="30" spans="1:47">
      <c r="A30" s="369" t="s">
        <v>6911</v>
      </c>
      <c r="B30" s="370">
        <f t="shared" si="7"/>
        <v>0</v>
      </c>
      <c r="C30" s="380">
        <v>0</v>
      </c>
      <c r="D30" s="369">
        <f>D55</f>
        <v>1300</v>
      </c>
      <c r="E30" s="368">
        <f>B30*100/$C$64</f>
        <v>0</v>
      </c>
      <c r="F30" s="205"/>
      <c r="G30" s="2" t="s">
        <v>6897</v>
      </c>
      <c r="H30" s="37">
        <v>-11000000</v>
      </c>
      <c r="I30" s="372" t="s">
        <v>25</v>
      </c>
      <c r="J30" s="500" t="s">
        <v>25</v>
      </c>
      <c r="K30" s="480"/>
      <c r="L30" s="374" t="s">
        <v>4728</v>
      </c>
      <c r="M30" s="374" t="s">
        <v>4726</v>
      </c>
      <c r="N30" s="37">
        <v>2000000</v>
      </c>
      <c r="O30" s="361" t="s">
        <v>4442</v>
      </c>
      <c r="P30" s="361">
        <v>101681</v>
      </c>
      <c r="Q30" s="1">
        <v>246.5711</v>
      </c>
      <c r="R30" s="1">
        <f t="shared" si="8"/>
        <v>25071596.019099999</v>
      </c>
      <c r="S30" s="361" t="s">
        <v>422</v>
      </c>
      <c r="AA30" t="s">
        <v>25</v>
      </c>
      <c r="AI30" s="11">
        <v>11</v>
      </c>
      <c r="AJ30" s="3" t="s">
        <v>3968</v>
      </c>
      <c r="AK30" s="3">
        <v>-170000</v>
      </c>
      <c r="AL30" s="11">
        <v>5</v>
      </c>
      <c r="AM30" s="11">
        <f t="shared" si="10"/>
        <v>1422</v>
      </c>
      <c r="AN30" s="3">
        <f t="shared" si="9"/>
        <v>-241740000</v>
      </c>
      <c r="AO30" s="11"/>
    </row>
    <row r="31" spans="1:47">
      <c r="A31" s="358"/>
      <c r="B31" s="359"/>
      <c r="C31" s="377"/>
      <c r="D31" s="358"/>
      <c r="E31" s="368"/>
      <c r="F31" s="205"/>
      <c r="G31" s="2"/>
      <c r="H31" s="2"/>
      <c r="I31" s="372"/>
      <c r="J31" s="500"/>
      <c r="L31" s="189" t="s">
        <v>4746</v>
      </c>
      <c r="M31" s="189" t="s">
        <v>4745</v>
      </c>
      <c r="N31" s="131">
        <v>480105</v>
      </c>
      <c r="O31" s="361" t="s">
        <v>4446</v>
      </c>
      <c r="P31" s="361">
        <v>66606</v>
      </c>
      <c r="Q31" s="1">
        <v>251.131</v>
      </c>
      <c r="R31" s="1">
        <f t="shared" si="8"/>
        <v>16726831.386</v>
      </c>
      <c r="S31" s="361" t="s">
        <v>690</v>
      </c>
      <c r="AI31" s="11">
        <v>12</v>
      </c>
      <c r="AJ31" s="3" t="s">
        <v>1149</v>
      </c>
      <c r="AK31" s="3">
        <v>-6300000</v>
      </c>
      <c r="AL31" s="11">
        <v>1</v>
      </c>
      <c r="AM31" s="11">
        <f>AM32+AL31</f>
        <v>1417</v>
      </c>
      <c r="AN31" s="3">
        <f t="shared" si="9"/>
        <v>-8927100000</v>
      </c>
      <c r="AO31" s="11"/>
    </row>
    <row r="32" spans="1:47">
      <c r="A32" s="365" t="s">
        <v>4323</v>
      </c>
      <c r="B32" s="364">
        <v>240309</v>
      </c>
      <c r="C32" s="381"/>
      <c r="D32" s="365"/>
      <c r="E32" s="368">
        <f>B32*100/$C$64</f>
        <v>7.8582944137270308E-4</v>
      </c>
      <c r="F32" s="205"/>
      <c r="G32" s="48" t="s">
        <v>6986</v>
      </c>
      <c r="H32" s="37">
        <v>25000000</v>
      </c>
      <c r="I32" s="360" t="s">
        <v>25</v>
      </c>
      <c r="J32" s="500"/>
      <c r="L32" s="189"/>
      <c r="M32" s="189" t="s">
        <v>4786</v>
      </c>
      <c r="N32" s="131">
        <v>30500000</v>
      </c>
      <c r="O32" s="361" t="s">
        <v>4451</v>
      </c>
      <c r="P32" s="361">
        <v>172025</v>
      </c>
      <c r="Q32" s="1">
        <v>245.52809999999999</v>
      </c>
      <c r="R32" s="1">
        <f t="shared" si="8"/>
        <v>42236971.402499996</v>
      </c>
      <c r="S32" s="361" t="s">
        <v>422</v>
      </c>
      <c r="AI32" s="11">
        <v>13</v>
      </c>
      <c r="AJ32" s="3" t="s">
        <v>1158</v>
      </c>
      <c r="AK32" s="3">
        <v>-52015</v>
      </c>
      <c r="AL32" s="11">
        <v>16</v>
      </c>
      <c r="AM32" s="11">
        <f t="shared" si="10"/>
        <v>1416</v>
      </c>
      <c r="AN32" s="3">
        <f t="shared" si="9"/>
        <v>-73653240</v>
      </c>
      <c r="AO32" s="11"/>
      <c r="AU32" t="s">
        <v>25</v>
      </c>
    </row>
    <row r="33" spans="1:41">
      <c r="A33" s="365" t="s">
        <v>4306</v>
      </c>
      <c r="B33" s="364">
        <f>C33*D33</f>
        <v>2709000</v>
      </c>
      <c r="C33" s="381">
        <v>1000</v>
      </c>
      <c r="D33" s="365">
        <f>D42</f>
        <v>2709</v>
      </c>
      <c r="E33" s="368">
        <f>B33*100/$C$64</f>
        <v>8.8586443149389019E-3</v>
      </c>
      <c r="F33" s="205">
        <v>235000</v>
      </c>
      <c r="G33" s="359" t="s">
        <v>6821</v>
      </c>
      <c r="H33" s="358"/>
      <c r="I33" t="s">
        <v>25</v>
      </c>
      <c r="L33" s="374" t="s">
        <v>4810</v>
      </c>
      <c r="M33" s="374" t="s">
        <v>4805</v>
      </c>
      <c r="N33" s="37">
        <v>-400000</v>
      </c>
      <c r="O33" s="361" t="s">
        <v>4451</v>
      </c>
      <c r="P33" s="361">
        <v>189227</v>
      </c>
      <c r="Q33" s="1">
        <v>245.52809999999999</v>
      </c>
      <c r="R33" s="1">
        <f t="shared" si="8"/>
        <v>46460545.778700002</v>
      </c>
      <c r="S33" s="361" t="s">
        <v>690</v>
      </c>
      <c r="AI33" s="11">
        <v>14</v>
      </c>
      <c r="AJ33" s="3" t="s">
        <v>3623</v>
      </c>
      <c r="AK33" s="3">
        <v>20017400</v>
      </c>
      <c r="AL33" s="11">
        <v>0</v>
      </c>
      <c r="AM33" s="11">
        <f t="shared" si="10"/>
        <v>1400</v>
      </c>
      <c r="AN33" s="3">
        <f t="shared" si="9"/>
        <v>28024360000</v>
      </c>
      <c r="AO33" s="11"/>
    </row>
    <row r="34" spans="1:41" ht="15" customHeight="1">
      <c r="A34" s="365" t="s">
        <v>5140</v>
      </c>
      <c r="B34" s="364">
        <f>C34*D34</f>
        <v>0</v>
      </c>
      <c r="C34" s="381">
        <v>0</v>
      </c>
      <c r="D34" s="365">
        <f>D43</f>
        <v>983</v>
      </c>
      <c r="E34" s="368">
        <f>B34*100/$C$64</f>
        <v>0</v>
      </c>
      <c r="F34" s="205" t="s">
        <v>25</v>
      </c>
      <c r="G34" s="2"/>
      <c r="H34" s="37"/>
      <c r="I34" s="372"/>
      <c r="L34" s="189" t="s">
        <v>4918</v>
      </c>
      <c r="M34" s="189" t="s">
        <v>4840</v>
      </c>
      <c r="N34" s="131">
        <v>-349550</v>
      </c>
      <c r="O34" s="361" t="s">
        <v>4452</v>
      </c>
      <c r="P34" s="361">
        <v>79720</v>
      </c>
      <c r="Q34" s="1">
        <v>246.6568</v>
      </c>
      <c r="R34" s="1">
        <f t="shared" si="8"/>
        <v>19663480.096000001</v>
      </c>
      <c r="S34" s="361" t="s">
        <v>422</v>
      </c>
      <c r="AI34" s="11">
        <v>15</v>
      </c>
      <c r="AJ34" s="3" t="s">
        <v>3623</v>
      </c>
      <c r="AK34" s="3">
        <v>1014466</v>
      </c>
      <c r="AL34" s="11">
        <v>12</v>
      </c>
      <c r="AM34" s="11">
        <f t="shared" si="10"/>
        <v>1400</v>
      </c>
      <c r="AN34" s="3">
        <f t="shared" si="9"/>
        <v>1420252400</v>
      </c>
      <c r="AO34" s="11"/>
    </row>
    <row r="35" spans="1:41">
      <c r="A35" s="365" t="s">
        <v>5595</v>
      </c>
      <c r="B35" s="364">
        <f>C35*D35</f>
        <v>54810282</v>
      </c>
      <c r="C35" s="381">
        <v>362982</v>
      </c>
      <c r="D35" s="365">
        <f>D46</f>
        <v>151</v>
      </c>
      <c r="E35" s="368">
        <f>B35*100/$C$64</f>
        <v>0.17923395830177116</v>
      </c>
      <c r="F35" s="205"/>
      <c r="G35" s="2"/>
      <c r="H35" s="37"/>
      <c r="I35" s="372"/>
      <c r="J35" s="507"/>
      <c r="L35" s="374" t="s">
        <v>4810</v>
      </c>
      <c r="M35" s="374" t="s">
        <v>4979</v>
      </c>
      <c r="N35" s="37">
        <v>-200000</v>
      </c>
      <c r="O35" s="361" t="s">
        <v>4452</v>
      </c>
      <c r="P35" s="361">
        <v>79720</v>
      </c>
      <c r="Q35" s="1">
        <v>246.6568</v>
      </c>
      <c r="R35" s="1">
        <f t="shared" si="8"/>
        <v>19663480.096000001</v>
      </c>
      <c r="S35" s="361" t="s">
        <v>690</v>
      </c>
      <c r="AA35" s="391" t="s">
        <v>25</v>
      </c>
      <c r="AI35" s="11">
        <v>16</v>
      </c>
      <c r="AJ35" s="3" t="s">
        <v>1061</v>
      </c>
      <c r="AK35" s="3">
        <v>360000</v>
      </c>
      <c r="AL35" s="11">
        <v>2</v>
      </c>
      <c r="AM35" s="11">
        <f t="shared" si="10"/>
        <v>1388</v>
      </c>
      <c r="AN35" s="3">
        <f t="shared" si="9"/>
        <v>499680000</v>
      </c>
      <c r="AO35" s="11"/>
    </row>
    <row r="36" spans="1:41">
      <c r="A36" s="365" t="s">
        <v>6978</v>
      </c>
      <c r="B36" s="364">
        <f t="shared" ref="B36:B37" si="11">C36*D36</f>
        <v>159154000</v>
      </c>
      <c r="C36" s="381">
        <v>1054000</v>
      </c>
      <c r="D36" s="365">
        <f>IF(D46&gt;180,180,D46)</f>
        <v>151</v>
      </c>
      <c r="E36" s="368">
        <f>B36*100/$C$64</f>
        <v>0.52044617102243862</v>
      </c>
      <c r="F36" s="205"/>
      <c r="G36" s="2"/>
      <c r="H36" s="37"/>
      <c r="I36" s="372"/>
      <c r="J36" s="507"/>
      <c r="L36" s="374" t="s">
        <v>4810</v>
      </c>
      <c r="M36" s="374" t="s">
        <v>5011</v>
      </c>
      <c r="N36" s="37">
        <v>-122000</v>
      </c>
      <c r="O36" s="361" t="s">
        <v>4473</v>
      </c>
      <c r="P36" s="361">
        <v>17769</v>
      </c>
      <c r="Q36" s="1">
        <v>246.17877999999999</v>
      </c>
      <c r="R36" s="1">
        <f t="shared" si="8"/>
        <v>4374350.7418200001</v>
      </c>
      <c r="S36" s="361" t="s">
        <v>690</v>
      </c>
      <c r="AI36" s="11">
        <v>17</v>
      </c>
      <c r="AJ36" s="3" t="s">
        <v>3683</v>
      </c>
      <c r="AK36" s="3">
        <v>-350000</v>
      </c>
      <c r="AL36" s="11">
        <v>0</v>
      </c>
      <c r="AM36" s="11">
        <f t="shared" si="10"/>
        <v>1386</v>
      </c>
      <c r="AN36" s="3">
        <f t="shared" si="9"/>
        <v>-485100000</v>
      </c>
      <c r="AO36" s="11"/>
    </row>
    <row r="37" spans="1:41">
      <c r="A37" s="365" t="s">
        <v>6975</v>
      </c>
      <c r="B37" s="364">
        <f t="shared" si="11"/>
        <v>886370000</v>
      </c>
      <c r="C37" s="381">
        <v>5870000</v>
      </c>
      <c r="D37" s="365">
        <f>IF(D46&gt;160,160,D46)</f>
        <v>151</v>
      </c>
      <c r="E37" s="368">
        <f>B37*100/$C$64</f>
        <v>2.8985000226771485</v>
      </c>
      <c r="F37" s="205"/>
      <c r="G37" s="2" t="s">
        <v>6792</v>
      </c>
      <c r="H37" s="37">
        <f>-795*D60</f>
        <v>-41340000</v>
      </c>
      <c r="I37" s="372"/>
      <c r="J37" s="507"/>
      <c r="L37" s="374" t="s">
        <v>4810</v>
      </c>
      <c r="M37" s="374" t="s">
        <v>5019</v>
      </c>
      <c r="N37" s="37">
        <v>-700000</v>
      </c>
      <c r="O37" s="361" t="s">
        <v>4473</v>
      </c>
      <c r="P37" s="361">
        <v>17769</v>
      </c>
      <c r="Q37" s="1">
        <v>246.17877999999999</v>
      </c>
      <c r="R37" s="1">
        <f t="shared" si="8"/>
        <v>4374350.7418200001</v>
      </c>
      <c r="S37" s="361" t="s">
        <v>422</v>
      </c>
      <c r="AI37" s="11">
        <v>18</v>
      </c>
      <c r="AJ37" s="3" t="s">
        <v>3683</v>
      </c>
      <c r="AK37" s="3">
        <v>1000</v>
      </c>
      <c r="AL37" s="11">
        <v>1</v>
      </c>
      <c r="AM37" s="11">
        <f t="shared" si="10"/>
        <v>1386</v>
      </c>
      <c r="AN37" s="3">
        <f t="shared" si="9"/>
        <v>1386000</v>
      </c>
      <c r="AO37" s="11"/>
    </row>
    <row r="38" spans="1:41">
      <c r="A38" s="365" t="s">
        <v>4542</v>
      </c>
      <c r="B38" s="364">
        <f>C38*D38</f>
        <v>0</v>
      </c>
      <c r="C38" s="381">
        <v>0</v>
      </c>
      <c r="D38" s="365">
        <f>D44</f>
        <v>697</v>
      </c>
      <c r="E38" s="368">
        <f>B38*100/$C$64</f>
        <v>0</v>
      </c>
      <c r="F38" s="205"/>
      <c r="G38" s="311" t="s">
        <v>6755</v>
      </c>
      <c r="H38" s="37">
        <f>-50*D59</f>
        <v>-156500000</v>
      </c>
      <c r="I38" s="372"/>
      <c r="J38" s="507"/>
      <c r="L38" s="374" t="s">
        <v>4810</v>
      </c>
      <c r="M38" s="374" t="s">
        <v>5029</v>
      </c>
      <c r="N38" s="37">
        <v>-60000</v>
      </c>
      <c r="O38" s="208" t="s">
        <v>4475</v>
      </c>
      <c r="P38" s="208">
        <v>12438</v>
      </c>
      <c r="Q38" s="394">
        <v>241.20465999999999</v>
      </c>
      <c r="R38" s="394">
        <f t="shared" si="8"/>
        <v>3000103.5610799999</v>
      </c>
      <c r="S38" s="208" t="s">
        <v>4316</v>
      </c>
      <c r="AB38" s="360"/>
      <c r="AC38" s="360"/>
      <c r="AI38" s="11">
        <v>19</v>
      </c>
      <c r="AJ38" s="3" t="s">
        <v>3687</v>
      </c>
      <c r="AK38" s="3">
        <v>33610000</v>
      </c>
      <c r="AL38" s="11">
        <v>4</v>
      </c>
      <c r="AM38" s="11">
        <f t="shared" si="10"/>
        <v>1385</v>
      </c>
      <c r="AN38" s="3">
        <f t="shared" si="9"/>
        <v>46549850000</v>
      </c>
      <c r="AO38" s="11"/>
    </row>
    <row r="39" spans="1:41">
      <c r="A39" s="365" t="s">
        <v>6911</v>
      </c>
      <c r="B39" s="364">
        <f>C39*D39</f>
        <v>0</v>
      </c>
      <c r="C39" s="381">
        <v>0</v>
      </c>
      <c r="D39" s="365">
        <f>D55</f>
        <v>1300</v>
      </c>
      <c r="E39" s="368">
        <f>B39*100/$C$64</f>
        <v>0</v>
      </c>
      <c r="F39" s="205"/>
      <c r="G39" s="48" t="s">
        <v>6746</v>
      </c>
      <c r="H39" s="37">
        <f>-10*D59</f>
        <v>-31300000</v>
      </c>
      <c r="I39" s="372"/>
      <c r="J39" s="507"/>
      <c r="L39" s="374" t="s">
        <v>4316</v>
      </c>
      <c r="M39" s="374" t="s">
        <v>5088</v>
      </c>
      <c r="N39" s="37">
        <v>700000</v>
      </c>
      <c r="O39" s="361" t="s">
        <v>4484</v>
      </c>
      <c r="P39" s="361">
        <v>27363</v>
      </c>
      <c r="Q39" s="1">
        <v>239.3886</v>
      </c>
      <c r="R39" s="1">
        <f t="shared" si="8"/>
        <v>6550390.2617999995</v>
      </c>
      <c r="S39" s="361" t="s">
        <v>690</v>
      </c>
      <c r="AB39" s="360"/>
      <c r="AC39" s="360"/>
      <c r="AI39" s="11">
        <v>20</v>
      </c>
      <c r="AJ39" s="3" t="s">
        <v>3969</v>
      </c>
      <c r="AK39" s="3">
        <v>-15600000</v>
      </c>
      <c r="AL39" s="11">
        <v>3</v>
      </c>
      <c r="AM39" s="11">
        <f t="shared" si="10"/>
        <v>1381</v>
      </c>
      <c r="AN39" s="3">
        <f t="shared" si="9"/>
        <v>-21543600000</v>
      </c>
      <c r="AO39" s="11"/>
    </row>
    <row r="40" spans="1:41">
      <c r="A40" s="358"/>
      <c r="B40" s="358"/>
      <c r="C40" s="358"/>
      <c r="D40" s="358"/>
      <c r="E40" s="368"/>
      <c r="F40" s="358"/>
      <c r="G40" s="48"/>
      <c r="H40" s="37"/>
      <c r="I40" s="372"/>
      <c r="J40" s="507"/>
      <c r="L40" s="189" t="s">
        <v>1005</v>
      </c>
      <c r="M40" s="189" t="s">
        <v>5107</v>
      </c>
      <c r="N40" s="131">
        <v>40000000</v>
      </c>
      <c r="O40" s="361" t="s">
        <v>4484</v>
      </c>
      <c r="P40" s="361">
        <v>27363</v>
      </c>
      <c r="Q40" s="1">
        <v>239.3886</v>
      </c>
      <c r="R40" s="1">
        <f t="shared" si="8"/>
        <v>6550390.2617999995</v>
      </c>
      <c r="S40" s="361" t="s">
        <v>422</v>
      </c>
      <c r="AB40" s="360"/>
      <c r="AC40" s="360"/>
      <c r="AI40" s="11">
        <v>21</v>
      </c>
      <c r="AJ40" s="3" t="s">
        <v>3701</v>
      </c>
      <c r="AK40" s="3">
        <v>7500000</v>
      </c>
      <c r="AL40" s="11">
        <v>4</v>
      </c>
      <c r="AM40" s="11">
        <f t="shared" si="10"/>
        <v>1378</v>
      </c>
      <c r="AN40" s="3">
        <f t="shared" si="9"/>
        <v>10335000000</v>
      </c>
      <c r="AO40" s="11"/>
    </row>
    <row r="41" spans="1:41">
      <c r="A41" s="367" t="s">
        <v>6744</v>
      </c>
      <c r="B41" s="363">
        <v>777773683</v>
      </c>
      <c r="C41" s="363"/>
      <c r="D41" s="367" t="s">
        <v>25</v>
      </c>
      <c r="E41" s="368">
        <f>B41*100/$C$64</f>
        <v>2.5433814747940353</v>
      </c>
      <c r="F41" s="205"/>
      <c r="G41" s="2" t="s">
        <v>6742</v>
      </c>
      <c r="H41" s="37">
        <f>-200*D60</f>
        <v>-10400000</v>
      </c>
      <c r="I41" s="372"/>
      <c r="J41" s="507"/>
      <c r="L41" s="374" t="s">
        <v>4316</v>
      </c>
      <c r="M41" s="374" t="s">
        <v>5111</v>
      </c>
      <c r="N41" s="37">
        <v>-800000</v>
      </c>
      <c r="O41" s="361" t="s">
        <v>4486</v>
      </c>
      <c r="P41" s="361">
        <v>27437</v>
      </c>
      <c r="Q41" s="1">
        <v>242.4015</v>
      </c>
      <c r="R41" s="1">
        <f t="shared" si="8"/>
        <v>6650769.9555000002</v>
      </c>
      <c r="S41" s="361" t="s">
        <v>690</v>
      </c>
      <c r="AB41" s="360"/>
      <c r="AC41" s="360"/>
      <c r="AI41" s="11">
        <v>22</v>
      </c>
      <c r="AJ41" s="3" t="s">
        <v>3970</v>
      </c>
      <c r="AK41" s="3">
        <v>-98000</v>
      </c>
      <c r="AL41" s="11">
        <v>1</v>
      </c>
      <c r="AM41" s="11">
        <f t="shared" si="10"/>
        <v>1374</v>
      </c>
      <c r="AN41" s="3">
        <f t="shared" si="9"/>
        <v>-134652000</v>
      </c>
      <c r="AO41" s="11"/>
    </row>
    <row r="42" spans="1:41">
      <c r="A42" s="367" t="s">
        <v>4075</v>
      </c>
      <c r="B42" s="363">
        <f t="shared" ref="B42:B60" si="12">C42*D42</f>
        <v>33989823</v>
      </c>
      <c r="C42" s="382">
        <v>12547</v>
      </c>
      <c r="D42" s="367">
        <f>'خرید و فروش نسبتی'!O54</f>
        <v>2709</v>
      </c>
      <c r="E42" s="368">
        <f>B42*100/$C$64</f>
        <v>0.11114941021953841</v>
      </c>
      <c r="F42" s="205">
        <v>2350000</v>
      </c>
      <c r="G42" s="2" t="s">
        <v>6934</v>
      </c>
      <c r="H42" s="37"/>
      <c r="I42" t="s">
        <v>25</v>
      </c>
      <c r="J42" s="507"/>
      <c r="L42" s="361" t="s">
        <v>4316</v>
      </c>
      <c r="M42" s="361" t="s">
        <v>5193</v>
      </c>
      <c r="N42" s="37">
        <v>700000</v>
      </c>
      <c r="O42" s="361" t="s">
        <v>4486</v>
      </c>
      <c r="P42" s="361">
        <v>29104</v>
      </c>
      <c r="Q42" s="1">
        <v>242.4015</v>
      </c>
      <c r="R42" s="1">
        <f t="shared" si="8"/>
        <v>7054853.2560000001</v>
      </c>
      <c r="S42" s="361" t="s">
        <v>422</v>
      </c>
      <c r="AB42" s="360"/>
      <c r="AC42" s="360"/>
      <c r="AI42" s="11">
        <v>23</v>
      </c>
      <c r="AJ42" s="3" t="s">
        <v>3964</v>
      </c>
      <c r="AK42" s="3">
        <v>-26000000</v>
      </c>
      <c r="AL42" s="11">
        <v>0</v>
      </c>
      <c r="AM42" s="11">
        <f t="shared" si="10"/>
        <v>1373</v>
      </c>
      <c r="AN42" s="3">
        <f t="shared" si="9"/>
        <v>-35698000000</v>
      </c>
      <c r="AO42" s="11"/>
    </row>
    <row r="43" spans="1:41">
      <c r="A43" s="367" t="s">
        <v>5140</v>
      </c>
      <c r="B43" s="363">
        <f t="shared" si="12"/>
        <v>9830000</v>
      </c>
      <c r="C43" s="382">
        <v>10000</v>
      </c>
      <c r="D43" s="367">
        <f>'خرید و فروش نسبتی'!O55</f>
        <v>983</v>
      </c>
      <c r="E43" s="368">
        <f>B43*100/$C$64</f>
        <v>3.2144877672886457E-2</v>
      </c>
      <c r="F43" s="205"/>
      <c r="G43" s="11"/>
      <c r="H43" s="37"/>
      <c r="I43" s="372"/>
      <c r="J43" s="507"/>
      <c r="L43" s="189" t="s">
        <v>5209</v>
      </c>
      <c r="M43" s="189" t="s">
        <v>5207</v>
      </c>
      <c r="N43" s="131">
        <v>-26000000</v>
      </c>
      <c r="O43" s="361" t="s">
        <v>4499</v>
      </c>
      <c r="P43" s="361">
        <v>8991</v>
      </c>
      <c r="Q43" s="1">
        <v>238.64867000000001</v>
      </c>
      <c r="R43" s="1">
        <f t="shared" si="8"/>
        <v>2145690.19197</v>
      </c>
      <c r="S43" s="361" t="s">
        <v>690</v>
      </c>
      <c r="AB43" s="360"/>
      <c r="AC43" s="360"/>
      <c r="AI43" s="11">
        <v>24</v>
      </c>
      <c r="AJ43" s="3" t="s">
        <v>3964</v>
      </c>
      <c r="AK43" s="3">
        <v>25000000</v>
      </c>
      <c r="AL43" s="11">
        <v>1</v>
      </c>
      <c r="AM43" s="11">
        <f t="shared" si="10"/>
        <v>1373</v>
      </c>
      <c r="AN43" s="3">
        <f t="shared" si="9"/>
        <v>34325000000</v>
      </c>
      <c r="AO43" s="11"/>
    </row>
    <row r="44" spans="1:41">
      <c r="A44" s="367" t="s">
        <v>4542</v>
      </c>
      <c r="B44" s="363">
        <f t="shared" si="12"/>
        <v>0</v>
      </c>
      <c r="C44" s="382">
        <v>0</v>
      </c>
      <c r="D44" s="367">
        <f>'خرید و فروش نسبتی'!O56</f>
        <v>697</v>
      </c>
      <c r="E44" s="368">
        <f>B44*100/$C$64</f>
        <v>0</v>
      </c>
      <c r="F44" s="205"/>
      <c r="G44" s="11"/>
      <c r="H44" s="37"/>
      <c r="J44" s="507"/>
      <c r="L44" s="189" t="s">
        <v>5209</v>
      </c>
      <c r="M44" s="189" t="s">
        <v>5211</v>
      </c>
      <c r="N44" s="131">
        <v>-95900000</v>
      </c>
      <c r="O44" s="361" t="s">
        <v>4499</v>
      </c>
      <c r="P44" s="361">
        <v>8991</v>
      </c>
      <c r="Q44" s="1">
        <v>238.64867000000001</v>
      </c>
      <c r="R44" s="1">
        <f t="shared" si="8"/>
        <v>2145690.19197</v>
      </c>
      <c r="S44" s="361" t="s">
        <v>422</v>
      </c>
      <c r="AB44" s="360"/>
      <c r="AC44" s="360"/>
      <c r="AE44" t="s">
        <v>25</v>
      </c>
      <c r="AI44" s="11">
        <v>25</v>
      </c>
      <c r="AJ44" s="3" t="s">
        <v>3965</v>
      </c>
      <c r="AK44" s="3">
        <v>110000</v>
      </c>
      <c r="AL44" s="11">
        <v>1</v>
      </c>
      <c r="AM44" s="11">
        <f t="shared" si="10"/>
        <v>1372</v>
      </c>
      <c r="AN44" s="3">
        <f t="shared" si="9"/>
        <v>150920000</v>
      </c>
      <c r="AO44" s="11"/>
    </row>
    <row r="45" spans="1:41">
      <c r="A45" s="367" t="s">
        <v>5154</v>
      </c>
      <c r="B45" s="363">
        <f t="shared" si="12"/>
        <v>0</v>
      </c>
      <c r="C45" s="382">
        <v>0</v>
      </c>
      <c r="D45" s="367">
        <f>'خرید و فروش نسبتی'!O60</f>
        <v>332</v>
      </c>
      <c r="E45" s="368">
        <f>B45*100/$C$64</f>
        <v>0</v>
      </c>
      <c r="F45" s="491"/>
      <c r="G45" s="2" t="s">
        <v>6854</v>
      </c>
      <c r="H45" s="37">
        <v>3000000</v>
      </c>
      <c r="J45" s="507"/>
      <c r="L45" s="189" t="s">
        <v>5209</v>
      </c>
      <c r="M45" s="189" t="s">
        <v>5212</v>
      </c>
      <c r="N45" s="131">
        <v>-28950000</v>
      </c>
      <c r="O45" s="361" t="s">
        <v>4509</v>
      </c>
      <c r="P45" s="361">
        <v>18170</v>
      </c>
      <c r="Q45" s="1">
        <v>240.48475999999999</v>
      </c>
      <c r="R45" s="1">
        <f t="shared" si="8"/>
        <v>4369608.0892000003</v>
      </c>
      <c r="S45" s="361" t="s">
        <v>690</v>
      </c>
      <c r="AB45" s="360"/>
      <c r="AC45" s="360"/>
      <c r="AD45" t="s">
        <v>25</v>
      </c>
      <c r="AE45" t="s">
        <v>25</v>
      </c>
      <c r="AG45" t="s">
        <v>25</v>
      </c>
      <c r="AI45" s="11">
        <v>26</v>
      </c>
      <c r="AJ45" s="3" t="s">
        <v>3715</v>
      </c>
      <c r="AK45" s="3">
        <v>380000</v>
      </c>
      <c r="AL45" s="11">
        <v>7</v>
      </c>
      <c r="AM45" s="11">
        <f t="shared" si="10"/>
        <v>1371</v>
      </c>
      <c r="AN45" s="3">
        <f t="shared" si="9"/>
        <v>520980000</v>
      </c>
      <c r="AO45" s="11"/>
    </row>
    <row r="46" spans="1:41">
      <c r="A46" s="532" t="s">
        <v>5595</v>
      </c>
      <c r="B46" s="363">
        <f t="shared" si="12"/>
        <v>7572104135</v>
      </c>
      <c r="C46" s="382">
        <v>50146385</v>
      </c>
      <c r="D46" s="367">
        <f>'خرید و فروش نسبتی'!O52</f>
        <v>151</v>
      </c>
      <c r="E46" s="368">
        <f>B46*100/$C$64</f>
        <v>24.76137956723629</v>
      </c>
      <c r="F46" s="491"/>
      <c r="G46" s="2" t="s">
        <v>6918</v>
      </c>
      <c r="H46" s="37">
        <v>-250000000</v>
      </c>
      <c r="J46" s="507"/>
      <c r="L46" s="189" t="s">
        <v>5226</v>
      </c>
      <c r="M46" s="189" t="s">
        <v>5224</v>
      </c>
      <c r="N46" s="131">
        <v>1896188</v>
      </c>
      <c r="O46" s="361" t="s">
        <v>4509</v>
      </c>
      <c r="P46" s="361">
        <v>18170</v>
      </c>
      <c r="Q46" s="1">
        <v>240.48475999999999</v>
      </c>
      <c r="R46" s="1">
        <f t="shared" si="8"/>
        <v>4369608.0892000003</v>
      </c>
      <c r="S46" s="361" t="s">
        <v>422</v>
      </c>
      <c r="AB46" s="360"/>
      <c r="AC46" s="360"/>
      <c r="AI46" s="11">
        <v>27</v>
      </c>
      <c r="AJ46" s="3" t="s">
        <v>3801</v>
      </c>
      <c r="AK46" s="3">
        <v>450000</v>
      </c>
      <c r="AL46" s="11">
        <v>6</v>
      </c>
      <c r="AM46" s="11">
        <f t="shared" si="10"/>
        <v>1364</v>
      </c>
      <c r="AN46" s="3">
        <f t="shared" si="9"/>
        <v>613800000</v>
      </c>
      <c r="AO46" s="11"/>
    </row>
    <row r="47" spans="1:41">
      <c r="A47" s="532" t="s">
        <v>6978</v>
      </c>
      <c r="B47" s="363">
        <f t="shared" si="12"/>
        <v>116723000</v>
      </c>
      <c r="C47" s="382">
        <v>773000</v>
      </c>
      <c r="D47" s="367">
        <f>IF(D46&gt;180,180,D46)</f>
        <v>151</v>
      </c>
      <c r="E47" s="368">
        <f>B47*100/$C$64</f>
        <v>0.38169344421285106</v>
      </c>
      <c r="F47" s="491"/>
      <c r="G47" s="358"/>
      <c r="H47" s="37"/>
      <c r="J47" s="507"/>
      <c r="L47" s="189" t="s">
        <v>5370</v>
      </c>
      <c r="M47" s="189" t="s">
        <v>4127</v>
      </c>
      <c r="N47" s="131">
        <v>13752871.322800001</v>
      </c>
      <c r="O47" s="361" t="s">
        <v>4511</v>
      </c>
      <c r="P47" s="361">
        <v>36797</v>
      </c>
      <c r="Q47" s="1">
        <v>239.0822</v>
      </c>
      <c r="R47" s="1">
        <f t="shared" si="8"/>
        <v>8797507.7134000007</v>
      </c>
      <c r="S47" s="361" t="s">
        <v>690</v>
      </c>
      <c r="AB47" s="360"/>
      <c r="AC47" s="360"/>
      <c r="AE47" t="s">
        <v>25</v>
      </c>
      <c r="AI47" s="11">
        <v>28</v>
      </c>
      <c r="AJ47" s="3" t="s">
        <v>3825</v>
      </c>
      <c r="AK47" s="3">
        <v>2800000</v>
      </c>
      <c r="AL47" s="11">
        <v>1</v>
      </c>
      <c r="AM47" s="11">
        <f t="shared" si="10"/>
        <v>1358</v>
      </c>
      <c r="AN47" s="3">
        <f t="shared" si="9"/>
        <v>3802400000</v>
      </c>
      <c r="AO47" s="11"/>
    </row>
    <row r="48" spans="1:41">
      <c r="A48" s="502" t="s">
        <v>6976</v>
      </c>
      <c r="B48" s="363">
        <f t="shared" si="12"/>
        <v>363306000</v>
      </c>
      <c r="C48" s="382">
        <v>2406000</v>
      </c>
      <c r="D48" s="367">
        <f>IF(D46&gt;200,200,D46)</f>
        <v>151</v>
      </c>
      <c r="E48" s="368">
        <f>B48*100/$C$64</f>
        <v>1.1880393619354717</v>
      </c>
      <c r="F48" s="491"/>
      <c r="G48" s="358"/>
      <c r="H48" s="37"/>
      <c r="I48" t="s">
        <v>25</v>
      </c>
      <c r="J48" s="507"/>
      <c r="L48" s="374" t="s">
        <v>5380</v>
      </c>
      <c r="M48" s="374" t="s">
        <v>5378</v>
      </c>
      <c r="N48" s="37">
        <v>3123901.3702000002</v>
      </c>
      <c r="O48" s="361" t="s">
        <v>4511</v>
      </c>
      <c r="P48" s="361">
        <v>36797</v>
      </c>
      <c r="Q48" s="1">
        <v>239.0822</v>
      </c>
      <c r="R48" s="1">
        <f t="shared" si="8"/>
        <v>8797507.7134000007</v>
      </c>
      <c r="S48" s="361" t="s">
        <v>422</v>
      </c>
      <c r="AB48" s="360"/>
      <c r="AC48" s="360"/>
      <c r="AI48" s="11">
        <v>29</v>
      </c>
      <c r="AJ48" s="3" t="s">
        <v>3826</v>
      </c>
      <c r="AK48" s="3">
        <v>-1500000</v>
      </c>
      <c r="AL48" s="11">
        <v>0</v>
      </c>
      <c r="AM48" s="11">
        <f t="shared" si="10"/>
        <v>1357</v>
      </c>
      <c r="AN48" s="3">
        <f t="shared" si="9"/>
        <v>-2035500000</v>
      </c>
      <c r="AO48" s="11"/>
    </row>
    <row r="49" spans="1:42">
      <c r="A49" s="535" t="s">
        <v>6977</v>
      </c>
      <c r="B49" s="363">
        <f t="shared" si="12"/>
        <v>156587000</v>
      </c>
      <c r="C49" s="382">
        <v>1037000</v>
      </c>
      <c r="D49" s="367">
        <f>IF(D46&gt;160,160,D46)</f>
        <v>151</v>
      </c>
      <c r="E49" s="368">
        <f>B49*100/$C$64</f>
        <v>0.51205187794143148</v>
      </c>
      <c r="F49" s="491"/>
      <c r="G49" s="358"/>
      <c r="H49" s="37"/>
      <c r="J49" s="507"/>
      <c r="L49" s="189" t="s">
        <v>5643</v>
      </c>
      <c r="M49" s="189" t="s">
        <v>5435</v>
      </c>
      <c r="N49" s="131">
        <v>-322076.40905199997</v>
      </c>
      <c r="O49" s="361" t="s">
        <v>4520</v>
      </c>
      <c r="P49" s="361">
        <v>28066</v>
      </c>
      <c r="Q49" s="1">
        <v>237.56970000000001</v>
      </c>
      <c r="R49" s="1">
        <f t="shared" si="8"/>
        <v>6667631.2002000008</v>
      </c>
      <c r="S49" s="361" t="s">
        <v>690</v>
      </c>
      <c r="AB49" s="360"/>
      <c r="AC49" s="360"/>
      <c r="AD49" t="s">
        <v>25</v>
      </c>
      <c r="AE49" t="s">
        <v>25</v>
      </c>
      <c r="AI49" s="11">
        <v>30</v>
      </c>
      <c r="AJ49" s="3" t="s">
        <v>3826</v>
      </c>
      <c r="AK49" s="3">
        <v>3050000</v>
      </c>
      <c r="AL49" s="11">
        <v>3</v>
      </c>
      <c r="AM49" s="11">
        <f>AM50+AL49</f>
        <v>1357</v>
      </c>
      <c r="AN49" s="3">
        <f t="shared" si="9"/>
        <v>4138850000</v>
      </c>
      <c r="AO49" s="11"/>
    </row>
    <row r="50" spans="1:42">
      <c r="A50" s="539" t="s">
        <v>6975</v>
      </c>
      <c r="B50" s="363">
        <f t="shared" si="12"/>
        <v>329482000</v>
      </c>
      <c r="C50" s="382">
        <v>2182000</v>
      </c>
      <c r="D50" s="367">
        <f>IF(D46&gt;160,160,D46)</f>
        <v>151</v>
      </c>
      <c r="E50" s="368">
        <f>B50*100/$C$64</f>
        <v>1.0774322060445549</v>
      </c>
      <c r="F50" s="491"/>
      <c r="G50" s="358"/>
      <c r="H50" s="37"/>
      <c r="I50" s="35"/>
      <c r="J50" s="507"/>
      <c r="L50" s="374" t="s">
        <v>4810</v>
      </c>
      <c r="M50" s="374" t="s">
        <v>5435</v>
      </c>
      <c r="N50" s="37">
        <v>-1500000</v>
      </c>
      <c r="O50" s="361" t="s">
        <v>4520</v>
      </c>
      <c r="P50" s="361">
        <v>28066</v>
      </c>
      <c r="Q50" s="1">
        <v>237.56970000000001</v>
      </c>
      <c r="R50" s="1">
        <f t="shared" si="8"/>
        <v>6667631.2002000008</v>
      </c>
      <c r="S50" s="361" t="s">
        <v>422</v>
      </c>
      <c r="AB50" s="360"/>
      <c r="AC50" s="360"/>
      <c r="AI50" s="11">
        <v>31</v>
      </c>
      <c r="AJ50" s="3" t="s">
        <v>3850</v>
      </c>
      <c r="AK50" s="3">
        <v>-8299612</v>
      </c>
      <c r="AL50" s="11">
        <v>2</v>
      </c>
      <c r="AM50" s="11">
        <f t="shared" si="10"/>
        <v>1354</v>
      </c>
      <c r="AN50" s="3">
        <f t="shared" si="9"/>
        <v>-11237674648</v>
      </c>
      <c r="AO50" s="11"/>
    </row>
    <row r="51" spans="1:42">
      <c r="A51" s="523" t="s">
        <v>6945</v>
      </c>
      <c r="B51" s="363">
        <f t="shared" si="12"/>
        <v>11024000</v>
      </c>
      <c r="C51" s="382">
        <v>26000</v>
      </c>
      <c r="D51" s="367">
        <f>'خرید و فروش نسبتی'!O51</f>
        <v>424</v>
      </c>
      <c r="E51" s="368">
        <f>B51*100/$C$64</f>
        <v>3.6049352132848454E-2</v>
      </c>
      <c r="F51" s="491"/>
      <c r="G51" s="2"/>
      <c r="H51" s="37"/>
      <c r="I51" s="35"/>
      <c r="L51" s="189" t="s">
        <v>5448</v>
      </c>
      <c r="M51" s="189" t="s">
        <v>5435</v>
      </c>
      <c r="N51" s="131">
        <v>15000000</v>
      </c>
      <c r="O51" s="361" t="s">
        <v>3599</v>
      </c>
      <c r="P51" s="361">
        <v>37457</v>
      </c>
      <c r="Q51" s="1">
        <v>239.77</v>
      </c>
      <c r="R51" s="1">
        <f t="shared" si="8"/>
        <v>8981064.8900000006</v>
      </c>
      <c r="S51" s="361" t="s">
        <v>690</v>
      </c>
      <c r="AA51" t="s">
        <v>25</v>
      </c>
      <c r="AB51" s="360"/>
      <c r="AC51" s="360"/>
      <c r="AI51" s="11">
        <v>32</v>
      </c>
      <c r="AJ51" s="3" t="s">
        <v>3845</v>
      </c>
      <c r="AK51" s="3">
        <v>5000000</v>
      </c>
      <c r="AL51" s="11">
        <v>14</v>
      </c>
      <c r="AM51" s="11">
        <f t="shared" si="10"/>
        <v>1352</v>
      </c>
      <c r="AN51" s="3">
        <f t="shared" si="9"/>
        <v>6760000000</v>
      </c>
      <c r="AO51" s="11"/>
    </row>
    <row r="52" spans="1:42" ht="30">
      <c r="A52" s="235" t="s">
        <v>6970</v>
      </c>
      <c r="B52" s="363">
        <f t="shared" si="12"/>
        <v>654000000</v>
      </c>
      <c r="C52" s="382">
        <v>1635000</v>
      </c>
      <c r="D52" s="367">
        <f>IF(D51&gt;400,400,D51)</f>
        <v>400</v>
      </c>
      <c r="E52" s="368">
        <f>B52*100/$C$64</f>
        <v>2.1386317393761693</v>
      </c>
      <c r="F52" s="491"/>
      <c r="G52" s="48" t="s">
        <v>5355</v>
      </c>
      <c r="H52" s="37"/>
      <c r="I52" s="35"/>
      <c r="L52" s="189" t="s">
        <v>5458</v>
      </c>
      <c r="M52" s="189" t="s">
        <v>5455</v>
      </c>
      <c r="N52" s="131">
        <v>-1500000</v>
      </c>
      <c r="O52" s="361" t="s">
        <v>3599</v>
      </c>
      <c r="P52" s="361">
        <v>37457</v>
      </c>
      <c r="Q52" s="1">
        <v>239.77</v>
      </c>
      <c r="R52" s="1">
        <f t="shared" si="8"/>
        <v>8981064.8900000006</v>
      </c>
      <c r="S52" s="361" t="s">
        <v>422</v>
      </c>
      <c r="AB52" s="360"/>
      <c r="AC52" s="360"/>
      <c r="AI52" s="11">
        <v>33</v>
      </c>
      <c r="AJ52" s="3" t="s">
        <v>910</v>
      </c>
      <c r="AK52" s="3">
        <v>-90000</v>
      </c>
      <c r="AL52" s="11">
        <v>1</v>
      </c>
      <c r="AM52" s="11">
        <f>AN53+AL52</f>
        <v>1338</v>
      </c>
      <c r="AN52" s="3">
        <f t="shared" si="9"/>
        <v>-120420000</v>
      </c>
      <c r="AO52" s="11"/>
    </row>
    <row r="53" spans="1:42">
      <c r="A53" s="13" t="s">
        <v>6955</v>
      </c>
      <c r="B53" s="363">
        <f t="shared" si="12"/>
        <v>0</v>
      </c>
      <c r="C53" s="382">
        <v>0</v>
      </c>
      <c r="D53" s="367">
        <f>'خرید و فروش نسبتی'!O50</f>
        <v>604</v>
      </c>
      <c r="E53" s="368">
        <f>B53*100/$C$64</f>
        <v>0</v>
      </c>
      <c r="F53" s="491"/>
      <c r="G53" s="480"/>
      <c r="H53" s="480"/>
      <c r="I53" s="35"/>
      <c r="L53" s="189" t="s">
        <v>5521</v>
      </c>
      <c r="M53" s="189" t="s">
        <v>5519</v>
      </c>
      <c r="N53" s="131">
        <v>-70000</v>
      </c>
      <c r="O53" s="361" t="s">
        <v>4531</v>
      </c>
      <c r="P53" s="361">
        <v>38412</v>
      </c>
      <c r="Q53" s="1">
        <v>239.03</v>
      </c>
      <c r="R53" s="1">
        <f t="shared" si="8"/>
        <v>9181620.3599999994</v>
      </c>
      <c r="S53" s="361" t="s">
        <v>690</v>
      </c>
      <c r="AA53" t="s">
        <v>25</v>
      </c>
      <c r="AB53" s="360"/>
      <c r="AC53" s="360"/>
      <c r="AJ53" s="11">
        <v>34</v>
      </c>
      <c r="AK53" s="3" t="s">
        <v>3966</v>
      </c>
      <c r="AL53" s="3">
        <v>5600000</v>
      </c>
      <c r="AM53" s="11">
        <v>4</v>
      </c>
      <c r="AN53" s="11">
        <f t="shared" si="10"/>
        <v>1337</v>
      </c>
      <c r="AO53" s="3">
        <f t="shared" si="9"/>
        <v>7487200000</v>
      </c>
      <c r="AP53" s="11"/>
    </row>
    <row r="54" spans="1:42">
      <c r="A54" s="13" t="s">
        <v>6974</v>
      </c>
      <c r="B54" s="363">
        <f t="shared" si="12"/>
        <v>180000000</v>
      </c>
      <c r="C54" s="382">
        <v>300000</v>
      </c>
      <c r="D54" s="367">
        <f>IF(D53&gt;600,600,D53)</f>
        <v>600</v>
      </c>
      <c r="E54" s="368">
        <f>B54*100/$C$64</f>
        <v>0.58861424019527597</v>
      </c>
      <c r="F54" s="491"/>
      <c r="G54" s="2" t="s">
        <v>4378</v>
      </c>
      <c r="H54" s="2" t="s">
        <v>4488</v>
      </c>
      <c r="I54" s="28" t="s">
        <v>4490</v>
      </c>
      <c r="J54" s="28" t="s">
        <v>4465</v>
      </c>
      <c r="K54" s="151" t="s">
        <v>4466</v>
      </c>
      <c r="L54" s="189" t="s">
        <v>5527</v>
      </c>
      <c r="M54" s="189" t="s">
        <v>5525</v>
      </c>
      <c r="N54" s="131">
        <v>1300000</v>
      </c>
      <c r="O54" s="361" t="s">
        <v>4531</v>
      </c>
      <c r="P54" s="361">
        <v>38412</v>
      </c>
      <c r="Q54" s="1">
        <v>239.03</v>
      </c>
      <c r="R54" s="1">
        <f t="shared" si="8"/>
        <v>9181620.3599999994</v>
      </c>
      <c r="S54" s="361" t="s">
        <v>422</v>
      </c>
      <c r="AA54" t="s">
        <v>25</v>
      </c>
      <c r="AB54" s="360"/>
      <c r="AC54" s="360"/>
      <c r="AJ54" s="11">
        <v>35</v>
      </c>
      <c r="AK54" s="3" t="s">
        <v>3894</v>
      </c>
      <c r="AL54" s="3">
        <v>750000</v>
      </c>
      <c r="AM54" s="11">
        <v>2</v>
      </c>
      <c r="AN54" s="11">
        <f t="shared" si="10"/>
        <v>1333</v>
      </c>
      <c r="AO54" s="3">
        <f t="shared" si="9"/>
        <v>999750000</v>
      </c>
      <c r="AP54" s="11"/>
    </row>
    <row r="55" spans="1:42">
      <c r="A55" s="522" t="s">
        <v>6911</v>
      </c>
      <c r="B55" s="363">
        <f>C55*D55</f>
        <v>0</v>
      </c>
      <c r="C55" s="382">
        <v>0</v>
      </c>
      <c r="D55" s="367">
        <f>'خرید و فروش نسبتی'!O53</f>
        <v>1300</v>
      </c>
      <c r="E55" s="368">
        <f>B55*100/$C$64</f>
        <v>0</v>
      </c>
      <c r="F55" s="11"/>
      <c r="G55" s="143" t="s">
        <v>4134</v>
      </c>
      <c r="H55" s="137">
        <v>790</v>
      </c>
      <c r="I55" s="144">
        <f>H55*$I$63</f>
        <v>24727000000</v>
      </c>
      <c r="J55" s="144">
        <f>B19+B33+B42</f>
        <v>5017661271</v>
      </c>
      <c r="K55" s="478">
        <f>I55-J55</f>
        <v>19709338729</v>
      </c>
      <c r="L55" s="189" t="s">
        <v>60</v>
      </c>
      <c r="M55" s="189" t="s">
        <v>5533</v>
      </c>
      <c r="N55" s="131">
        <v>90000000</v>
      </c>
      <c r="O55" s="361" t="s">
        <v>4533</v>
      </c>
      <c r="P55" s="361">
        <v>49555</v>
      </c>
      <c r="Q55" s="1">
        <v>238.345</v>
      </c>
      <c r="R55" s="1">
        <f t="shared" si="8"/>
        <v>11811186.475</v>
      </c>
      <c r="S55" s="361" t="s">
        <v>690</v>
      </c>
      <c r="AB55" s="360"/>
      <c r="AC55" s="360"/>
      <c r="AJ55" s="117">
        <v>36</v>
      </c>
      <c r="AK55" s="116" t="s">
        <v>3904</v>
      </c>
      <c r="AL55" s="116">
        <v>-4242000</v>
      </c>
      <c r="AM55" s="117">
        <v>2</v>
      </c>
      <c r="AN55" s="117">
        <f t="shared" si="10"/>
        <v>1331</v>
      </c>
      <c r="AO55" s="116">
        <f t="shared" si="9"/>
        <v>-5646102000</v>
      </c>
      <c r="AP55" s="117" t="s">
        <v>3975</v>
      </c>
    </row>
    <row r="56" spans="1:42">
      <c r="A56" s="513" t="s">
        <v>6971</v>
      </c>
      <c r="B56" s="363">
        <f>C56*D56</f>
        <v>77000000</v>
      </c>
      <c r="C56" s="382">
        <v>70000</v>
      </c>
      <c r="D56" s="367">
        <v>1100</v>
      </c>
      <c r="E56" s="368">
        <f>B56*100/$C$64</f>
        <v>0.25179609163909028</v>
      </c>
      <c r="F56" s="491" t="s">
        <v>25</v>
      </c>
      <c r="G56" s="28" t="s">
        <v>5140</v>
      </c>
      <c r="H56" s="2">
        <v>254</v>
      </c>
      <c r="I56" s="1">
        <f>H56*$I$63</f>
        <v>7950200000</v>
      </c>
      <c r="J56" s="1">
        <f>B43+B34+B20</f>
        <v>19660000</v>
      </c>
      <c r="K56" s="59">
        <f>I56-J56</f>
        <v>7930540000</v>
      </c>
      <c r="L56" s="189" t="s">
        <v>5604</v>
      </c>
      <c r="M56" s="189" t="s">
        <v>5601</v>
      </c>
      <c r="N56" s="131">
        <v>33832510.64875</v>
      </c>
      <c r="O56" s="361" t="s">
        <v>4533</v>
      </c>
      <c r="P56" s="361">
        <v>49555</v>
      </c>
      <c r="Q56" s="1">
        <v>238.345</v>
      </c>
      <c r="R56" s="1">
        <f t="shared" si="8"/>
        <v>11811186.475</v>
      </c>
      <c r="S56" s="361" t="s">
        <v>422</v>
      </c>
      <c r="AB56" s="360"/>
      <c r="AC56" s="360"/>
      <c r="AJ56" s="11">
        <v>37</v>
      </c>
      <c r="AK56" s="3" t="s">
        <v>3904</v>
      </c>
      <c r="AL56" s="3">
        <v>4100000</v>
      </c>
      <c r="AM56" s="11">
        <v>0</v>
      </c>
      <c r="AN56" s="11">
        <f t="shared" si="10"/>
        <v>1329</v>
      </c>
      <c r="AO56" s="3">
        <f t="shared" si="9"/>
        <v>5448900000</v>
      </c>
      <c r="AP56" s="11"/>
    </row>
    <row r="57" spans="1:42">
      <c r="A57" s="514" t="s">
        <v>6972</v>
      </c>
      <c r="B57" s="363">
        <f>C57*D57</f>
        <v>225600000</v>
      </c>
      <c r="C57" s="382">
        <v>188000</v>
      </c>
      <c r="D57" s="367">
        <v>1200</v>
      </c>
      <c r="E57" s="368">
        <f>B57*100/$C$64</f>
        <v>0.73772984771141248</v>
      </c>
      <c r="F57" s="491"/>
      <c r="G57" s="143" t="s">
        <v>6647</v>
      </c>
      <c r="H57" s="137"/>
      <c r="I57" s="144">
        <v>0</v>
      </c>
      <c r="J57" s="144" t="e">
        <f>B5+B12+B16+#REF!+B13+B21+B35+B46+B47+B48+B49+B50+#REF!+#REF!+#REF!+#REF!+B51+#REF!+B52+B54+#REF!+B56+B57+B58</f>
        <v>#REF!</v>
      </c>
      <c r="K57" s="478" t="e">
        <f>I57-J57</f>
        <v>#REF!</v>
      </c>
      <c r="L57" s="189" t="s">
        <v>5618</v>
      </c>
      <c r="M57" s="189" t="s">
        <v>5616</v>
      </c>
      <c r="N57" s="131">
        <v>21634932</v>
      </c>
      <c r="O57" s="361" t="s">
        <v>4545</v>
      </c>
      <c r="P57" s="361">
        <v>160187</v>
      </c>
      <c r="Q57" s="1">
        <v>257.49799999999999</v>
      </c>
      <c r="R57" s="1">
        <f t="shared" si="8"/>
        <v>41247832.126000002</v>
      </c>
      <c r="S57" s="361" t="s">
        <v>690</v>
      </c>
      <c r="AB57" s="360"/>
      <c r="AC57" s="360"/>
      <c r="AJ57" s="11">
        <v>38</v>
      </c>
      <c r="AK57" s="3" t="s">
        <v>3910</v>
      </c>
      <c r="AL57" s="3">
        <v>4100000</v>
      </c>
      <c r="AM57" s="11">
        <v>1</v>
      </c>
      <c r="AN57" s="11">
        <f t="shared" si="10"/>
        <v>1329</v>
      </c>
      <c r="AO57" s="3">
        <f t="shared" si="9"/>
        <v>5448900000</v>
      </c>
      <c r="AP57" s="11"/>
    </row>
    <row r="58" spans="1:42" ht="15.75">
      <c r="A58" s="518" t="s">
        <v>6973</v>
      </c>
      <c r="B58" s="363">
        <f>C58*D58</f>
        <v>6106100000</v>
      </c>
      <c r="C58" s="382">
        <v>4697000</v>
      </c>
      <c r="D58" s="367">
        <v>1300</v>
      </c>
      <c r="E58" s="368">
        <f>B58*100/$C$64</f>
        <v>19.967430066979858</v>
      </c>
      <c r="F58" s="491"/>
      <c r="G58" s="189" t="s">
        <v>5161</v>
      </c>
      <c r="H58" s="132">
        <v>0</v>
      </c>
      <c r="I58" s="190">
        <f>H58*$I$63</f>
        <v>0</v>
      </c>
      <c r="J58" s="190">
        <f>B18+B32+B41</f>
        <v>1039673963</v>
      </c>
      <c r="K58" s="157">
        <f>I58-J58</f>
        <v>-1039673963</v>
      </c>
      <c r="L58" s="189" t="s">
        <v>4615</v>
      </c>
      <c r="M58" s="189" t="s">
        <v>5616</v>
      </c>
      <c r="N58" s="131">
        <v>-22520813.151772</v>
      </c>
      <c r="O58" s="361" t="s">
        <v>4545</v>
      </c>
      <c r="P58" s="361">
        <v>160187</v>
      </c>
      <c r="Q58" s="1">
        <v>257.49799999999999</v>
      </c>
      <c r="R58" s="1">
        <f t="shared" si="8"/>
        <v>41247832.126000002</v>
      </c>
      <c r="S58" s="361" t="s">
        <v>422</v>
      </c>
      <c r="AA58" t="s">
        <v>25</v>
      </c>
      <c r="AB58" s="360"/>
      <c r="AC58" s="360"/>
      <c r="AJ58" s="11">
        <v>39</v>
      </c>
      <c r="AK58" s="3" t="s">
        <v>3919</v>
      </c>
      <c r="AL58" s="3">
        <v>790000</v>
      </c>
      <c r="AM58" s="11">
        <v>15</v>
      </c>
      <c r="AN58" s="11">
        <f t="shared" si="10"/>
        <v>1328</v>
      </c>
      <c r="AO58" s="3">
        <f t="shared" si="9"/>
        <v>1049120000</v>
      </c>
      <c r="AP58" s="11"/>
    </row>
    <row r="59" spans="1:42">
      <c r="A59" s="321" t="s">
        <v>1004</v>
      </c>
      <c r="B59" s="363">
        <f t="shared" si="12"/>
        <v>0</v>
      </c>
      <c r="C59" s="382">
        <v>0</v>
      </c>
      <c r="D59" s="363">
        <v>3130000</v>
      </c>
      <c r="E59" s="368">
        <f>B59*100/$C$64</f>
        <v>0</v>
      </c>
      <c r="F59" s="491" t="s">
        <v>25</v>
      </c>
      <c r="G59" s="143"/>
      <c r="H59" s="137"/>
      <c r="I59" s="144"/>
      <c r="J59" s="144"/>
      <c r="K59" s="478"/>
      <c r="L59" s="374" t="s">
        <v>5997</v>
      </c>
      <c r="M59" s="374" t="s">
        <v>5995</v>
      </c>
      <c r="N59" s="37">
        <v>-6000000</v>
      </c>
      <c r="O59" s="361" t="s">
        <v>4552</v>
      </c>
      <c r="P59" s="361">
        <v>144401</v>
      </c>
      <c r="Q59" s="1">
        <v>258.5061</v>
      </c>
      <c r="R59" s="1">
        <f t="shared" si="8"/>
        <v>37328539.346100003</v>
      </c>
      <c r="S59" s="361" t="s">
        <v>690</v>
      </c>
      <c r="AB59" s="360"/>
      <c r="AC59" s="360"/>
      <c r="AJ59" s="117">
        <v>40</v>
      </c>
      <c r="AK59" s="116" t="s">
        <v>3950</v>
      </c>
      <c r="AL59" s="116">
        <v>-3865000</v>
      </c>
      <c r="AM59" s="117">
        <v>6</v>
      </c>
      <c r="AN59" s="117">
        <f t="shared" si="10"/>
        <v>1313</v>
      </c>
      <c r="AO59" s="118">
        <f t="shared" si="9"/>
        <v>-5074745000</v>
      </c>
      <c r="AP59" s="117" t="s">
        <v>3976</v>
      </c>
    </row>
    <row r="60" spans="1:42">
      <c r="A60" s="321" t="s">
        <v>4928</v>
      </c>
      <c r="B60" s="363">
        <f t="shared" si="12"/>
        <v>0</v>
      </c>
      <c r="C60" s="382">
        <v>0</v>
      </c>
      <c r="D60" s="367">
        <v>52000</v>
      </c>
      <c r="E60" s="368">
        <f>B60*100/$C$64</f>
        <v>0</v>
      </c>
      <c r="F60" s="491" t="s">
        <v>25</v>
      </c>
      <c r="G60" s="170" t="s">
        <v>6599</v>
      </c>
      <c r="H60" s="134">
        <v>-290</v>
      </c>
      <c r="I60" s="171">
        <f>H60*$I$63</f>
        <v>-9077000000</v>
      </c>
      <c r="J60" s="171">
        <v>0</v>
      </c>
      <c r="K60" s="155">
        <f>I60-J60</f>
        <v>-9077000000</v>
      </c>
      <c r="L60" s="189" t="s">
        <v>5242</v>
      </c>
      <c r="M60" s="189" t="s">
        <v>6061</v>
      </c>
      <c r="N60" s="131">
        <v>130888.351165</v>
      </c>
      <c r="O60" s="361" t="s">
        <v>4552</v>
      </c>
      <c r="P60" s="361">
        <v>144401</v>
      </c>
      <c r="Q60" s="1">
        <v>258.5061</v>
      </c>
      <c r="R60" s="1">
        <f t="shared" si="8"/>
        <v>37328539.346100003</v>
      </c>
      <c r="S60" s="361" t="s">
        <v>422</v>
      </c>
      <c r="AB60" s="360"/>
      <c r="AC60" s="360"/>
      <c r="AJ60" s="20">
        <v>41</v>
      </c>
      <c r="AK60" s="37" t="s">
        <v>3980</v>
      </c>
      <c r="AL60" s="37">
        <v>18800000</v>
      </c>
      <c r="AM60" s="20">
        <v>3</v>
      </c>
      <c r="AN60" s="11">
        <f t="shared" si="10"/>
        <v>1307</v>
      </c>
      <c r="AO60" s="3">
        <f t="shared" si="9"/>
        <v>24571600000</v>
      </c>
      <c r="AP60" s="20"/>
    </row>
    <row r="61" spans="1:42">
      <c r="A61" s="321"/>
      <c r="B61" s="363"/>
      <c r="C61" s="382"/>
      <c r="D61" s="367"/>
      <c r="E61" s="368"/>
      <c r="F61" s="491"/>
      <c r="G61" s="28"/>
      <c r="H61" s="2"/>
      <c r="I61" s="1"/>
      <c r="J61" s="1"/>
      <c r="K61" s="59"/>
      <c r="L61" s="189" t="s">
        <v>6161</v>
      </c>
      <c r="M61" s="189" t="s">
        <v>6157</v>
      </c>
      <c r="N61" s="131">
        <v>50000000</v>
      </c>
      <c r="O61" s="361" t="s">
        <v>4558</v>
      </c>
      <c r="P61" s="361">
        <v>196500</v>
      </c>
      <c r="Q61" s="1">
        <v>254.452</v>
      </c>
      <c r="R61" s="1">
        <f t="shared" si="8"/>
        <v>49999818</v>
      </c>
      <c r="S61" s="361" t="s">
        <v>4560</v>
      </c>
      <c r="AB61" s="360"/>
      <c r="AC61" s="360"/>
      <c r="AJ61" s="20">
        <v>42</v>
      </c>
      <c r="AK61" s="37" t="s">
        <v>3995</v>
      </c>
      <c r="AL61" s="37">
        <v>500000</v>
      </c>
      <c r="AM61" s="20">
        <v>1</v>
      </c>
      <c r="AN61" s="11">
        <f>AM62+AM61</f>
        <v>1304</v>
      </c>
      <c r="AO61" s="3">
        <f t="shared" si="9"/>
        <v>652000000</v>
      </c>
      <c r="AP61" s="20"/>
    </row>
    <row r="62" spans="1:42">
      <c r="A62" s="367" t="s">
        <v>1069</v>
      </c>
      <c r="B62" s="363">
        <v>14908</v>
      </c>
      <c r="C62" s="367">
        <v>1</v>
      </c>
      <c r="D62" s="367" t="s">
        <v>25</v>
      </c>
      <c r="E62" s="368"/>
      <c r="F62" s="491" t="s">
        <v>25</v>
      </c>
      <c r="G62" s="143" t="s">
        <v>4859</v>
      </c>
      <c r="H62" s="137">
        <f>SUM(H55:H60)</f>
        <v>754</v>
      </c>
      <c r="I62" s="144"/>
      <c r="J62" s="144"/>
      <c r="K62" s="478"/>
      <c r="L62" s="374" t="s">
        <v>6178</v>
      </c>
      <c r="M62" s="374" t="s">
        <v>6177</v>
      </c>
      <c r="N62" s="37">
        <v>96000</v>
      </c>
      <c r="O62" s="361" t="s">
        <v>4558</v>
      </c>
      <c r="P62" s="361">
        <v>2561</v>
      </c>
      <c r="Q62" s="1">
        <v>254.536</v>
      </c>
      <c r="R62" s="1">
        <f t="shared" si="8"/>
        <v>651866.696</v>
      </c>
      <c r="S62" s="361" t="s">
        <v>4561</v>
      </c>
      <c r="AA62" t="s">
        <v>25</v>
      </c>
      <c r="AB62" s="360"/>
      <c r="AC62" s="360"/>
      <c r="AI62" s="20">
        <v>43</v>
      </c>
      <c r="AJ62" s="37" t="s">
        <v>3999</v>
      </c>
      <c r="AK62" s="37">
        <v>200000</v>
      </c>
      <c r="AL62" s="20">
        <v>3</v>
      </c>
      <c r="AM62" s="11">
        <f>AM63+AL62</f>
        <v>1303</v>
      </c>
      <c r="AN62" s="3">
        <f>AK62*AM62</f>
        <v>260600000</v>
      </c>
      <c r="AO62" s="20"/>
    </row>
    <row r="63" spans="1:42">
      <c r="A63" s="367" t="s">
        <v>1070</v>
      </c>
      <c r="B63" s="363">
        <v>5282</v>
      </c>
      <c r="C63" s="367"/>
      <c r="D63" s="367" t="s">
        <v>25</v>
      </c>
      <c r="E63" s="368"/>
      <c r="F63" s="491" t="s">
        <v>25</v>
      </c>
      <c r="G63" s="28"/>
      <c r="H63" s="2">
        <v>0</v>
      </c>
      <c r="I63" s="34">
        <f>10*D59</f>
        <v>31300000</v>
      </c>
      <c r="J63" s="1">
        <f>H63*I63</f>
        <v>0</v>
      </c>
      <c r="K63" s="59" t="e">
        <f>SUM(K55:K61)-J63</f>
        <v>#REF!</v>
      </c>
      <c r="L63" s="189" t="s">
        <v>6570</v>
      </c>
      <c r="M63" s="189" t="s">
        <v>6568</v>
      </c>
      <c r="N63" s="131">
        <v>-40615000</v>
      </c>
      <c r="O63" s="361" t="s">
        <v>4599</v>
      </c>
      <c r="P63" s="361">
        <v>-11795</v>
      </c>
      <c r="Q63" s="1">
        <v>254.334</v>
      </c>
      <c r="R63" s="1">
        <f t="shared" si="8"/>
        <v>-2999869.5300000003</v>
      </c>
      <c r="S63" s="361" t="s">
        <v>4600</v>
      </c>
      <c r="AB63" s="360"/>
      <c r="AC63" s="360"/>
      <c r="AI63" s="20">
        <v>44</v>
      </c>
      <c r="AJ63" s="37" t="s">
        <v>4006</v>
      </c>
      <c r="AK63" s="37">
        <v>1000000</v>
      </c>
      <c r="AL63" s="20">
        <v>3</v>
      </c>
      <c r="AM63" s="11">
        <f>AN64+AL63</f>
        <v>1300</v>
      </c>
      <c r="AN63" s="3">
        <f>AK63*AM63</f>
        <v>1300000000</v>
      </c>
      <c r="AO63" s="20"/>
    </row>
    <row r="64" spans="1:42">
      <c r="A64" s="358"/>
      <c r="B64" s="359"/>
      <c r="C64" s="377">
        <f>SUM(B1:B61)+F2+F9+F19+F33+F42</f>
        <v>30580299916</v>
      </c>
      <c r="D64" s="358">
        <v>90</v>
      </c>
      <c r="E64" s="361">
        <v>335</v>
      </c>
      <c r="F64" s="358">
        <v>80</v>
      </c>
      <c r="G64" s="143"/>
      <c r="H64" s="160"/>
      <c r="I64" s="144" t="s">
        <v>4144</v>
      </c>
      <c r="J64" s="144" t="s">
        <v>4482</v>
      </c>
      <c r="K64" s="478" t="s">
        <v>4483</v>
      </c>
      <c r="L64" s="189" t="s">
        <v>6591</v>
      </c>
      <c r="M64" s="189" t="s">
        <v>6590</v>
      </c>
      <c r="N64" s="131">
        <v>7300000</v>
      </c>
      <c r="O64" s="361" t="s">
        <v>4599</v>
      </c>
      <c r="P64" s="361">
        <v>11795</v>
      </c>
      <c r="Q64" s="1">
        <v>254.334</v>
      </c>
      <c r="R64" s="1">
        <f t="shared" si="8"/>
        <v>2999869.5300000003</v>
      </c>
      <c r="S64" s="361" t="s">
        <v>4601</v>
      </c>
      <c r="AB64" s="360"/>
      <c r="AC64" s="360"/>
      <c r="AD64" t="s">
        <v>25</v>
      </c>
      <c r="AJ64" s="20">
        <v>45</v>
      </c>
      <c r="AK64" s="37" t="s">
        <v>4009</v>
      </c>
      <c r="AL64" s="37">
        <v>1300000</v>
      </c>
      <c r="AM64" s="20">
        <v>0</v>
      </c>
      <c r="AN64" s="11">
        <f>AN65+AM64</f>
        <v>1297</v>
      </c>
      <c r="AO64" s="3">
        <f t="shared" ref="AO64:AO95" si="13">AL64*AN64</f>
        <v>1686100000</v>
      </c>
      <c r="AP64" s="20"/>
    </row>
    <row r="65" spans="1:42" ht="30">
      <c r="A65" s="358"/>
      <c r="B65" s="359"/>
      <c r="C65" s="359" t="s">
        <v>4928</v>
      </c>
      <c r="D65" s="361" t="s">
        <v>4542</v>
      </c>
      <c r="E65" s="280" t="s">
        <v>4134</v>
      </c>
      <c r="F65" s="280" t="s">
        <v>5140</v>
      </c>
      <c r="G65" s="280" t="s">
        <v>4489</v>
      </c>
      <c r="H65" s="28"/>
      <c r="I65" s="1"/>
      <c r="J65" s="1"/>
      <c r="K65" s="59"/>
      <c r="L65" s="374" t="s">
        <v>6625</v>
      </c>
      <c r="M65" s="374" t="s">
        <v>6622</v>
      </c>
      <c r="N65" s="37">
        <v>-6128000</v>
      </c>
      <c r="O65" s="361" t="s">
        <v>4613</v>
      </c>
      <c r="P65" s="361">
        <v>260</v>
      </c>
      <c r="Q65" s="1">
        <v>263.19</v>
      </c>
      <c r="R65" s="1">
        <f t="shared" si="8"/>
        <v>68429.399999999994</v>
      </c>
      <c r="S65" s="361" t="s">
        <v>422</v>
      </c>
      <c r="AB65" s="360"/>
      <c r="AC65" s="360"/>
      <c r="AJ65" s="20">
        <v>45</v>
      </c>
      <c r="AK65" s="37" t="s">
        <v>4009</v>
      </c>
      <c r="AL65" s="37">
        <v>995000</v>
      </c>
      <c r="AM65" s="20">
        <v>2</v>
      </c>
      <c r="AN65" s="11">
        <f t="shared" ref="AN65:AN92" si="14">AN66+AM65</f>
        <v>1297</v>
      </c>
      <c r="AO65" s="3">
        <f t="shared" si="13"/>
        <v>1290515000</v>
      </c>
      <c r="AP65" s="20"/>
    </row>
    <row r="66" spans="1:42">
      <c r="A66" s="358"/>
      <c r="B66" s="359" t="s">
        <v>6888</v>
      </c>
      <c r="C66" s="377">
        <f>C64/D60</f>
        <v>588082.69069230766</v>
      </c>
      <c r="D66" s="377">
        <f>C64/D44</f>
        <v>43874174.91535151</v>
      </c>
      <c r="E66" s="377">
        <f>C64/D42</f>
        <v>11288408.976005906</v>
      </c>
      <c r="F66" s="377">
        <f>C64/D43</f>
        <v>31109155.560528994</v>
      </c>
      <c r="J66" s="473" t="s">
        <v>25</v>
      </c>
      <c r="K66" s="35"/>
      <c r="L66" s="189" t="s">
        <v>6661</v>
      </c>
      <c r="M66" s="189" t="s">
        <v>6659</v>
      </c>
      <c r="N66" s="131">
        <v>-79825035</v>
      </c>
      <c r="O66" s="361" t="s">
        <v>4622</v>
      </c>
      <c r="P66" s="361">
        <v>15257</v>
      </c>
      <c r="Q66" s="1">
        <v>262.19018</v>
      </c>
      <c r="R66" s="1">
        <f t="shared" si="8"/>
        <v>4000235.57626</v>
      </c>
      <c r="S66" s="361" t="s">
        <v>422</v>
      </c>
      <c r="AB66" s="360"/>
      <c r="AC66" s="360"/>
      <c r="AJ66" s="20">
        <v>46</v>
      </c>
      <c r="AK66" s="37" t="s">
        <v>4018</v>
      </c>
      <c r="AL66" s="37">
        <v>13000000</v>
      </c>
      <c r="AM66" s="20">
        <v>2</v>
      </c>
      <c r="AN66" s="11">
        <f t="shared" si="14"/>
        <v>1295</v>
      </c>
      <c r="AO66" s="3">
        <f t="shared" si="13"/>
        <v>16835000000</v>
      </c>
      <c r="AP66" s="20"/>
    </row>
    <row r="67" spans="1:42">
      <c r="A67" s="358"/>
      <c r="B67" s="359" t="s">
        <v>6889</v>
      </c>
      <c r="C67" s="377">
        <v>0</v>
      </c>
      <c r="D67" s="377">
        <f>C44+C29+C38</f>
        <v>0</v>
      </c>
      <c r="E67" s="377">
        <f>C2+C9+C19+C42+C33</f>
        <v>1856085</v>
      </c>
      <c r="F67" s="377">
        <f>C3+C10+C20+C43+C34</f>
        <v>20000</v>
      </c>
      <c r="J67" s="357"/>
      <c r="K67" s="35"/>
      <c r="L67" s="374" t="s">
        <v>6685</v>
      </c>
      <c r="M67" s="374" t="s">
        <v>6680</v>
      </c>
      <c r="N67" s="37">
        <v>-11300000</v>
      </c>
      <c r="O67" s="361" t="s">
        <v>4622</v>
      </c>
      <c r="P67" s="361">
        <v>8444</v>
      </c>
      <c r="Q67" s="1">
        <v>266.43029999999999</v>
      </c>
      <c r="R67" s="1">
        <f t="shared" si="8"/>
        <v>2249737.4531999999</v>
      </c>
      <c r="S67" s="361" t="s">
        <v>422</v>
      </c>
      <c r="AB67" s="360"/>
      <c r="AC67" s="360"/>
      <c r="AJ67" s="20">
        <v>47</v>
      </c>
      <c r="AK67" s="37" t="s">
        <v>4031</v>
      </c>
      <c r="AL67" s="37">
        <v>-3100000</v>
      </c>
      <c r="AM67" s="20">
        <v>3</v>
      </c>
      <c r="AN67" s="11">
        <f t="shared" si="14"/>
        <v>1293</v>
      </c>
      <c r="AO67" s="3">
        <f t="shared" si="13"/>
        <v>-4008300000</v>
      </c>
      <c r="AP67" s="20"/>
    </row>
    <row r="68" spans="1:42">
      <c r="A68" s="358"/>
      <c r="B68" s="359" t="s">
        <v>6890</v>
      </c>
      <c r="C68" s="479"/>
      <c r="D68" s="479">
        <f>D67/D66</f>
        <v>0</v>
      </c>
      <c r="E68" s="479">
        <f>E67/E66</f>
        <v>0.16442396833293374</v>
      </c>
      <c r="F68" s="479">
        <f>F67/F66</f>
        <v>6.428975534577291E-4</v>
      </c>
      <c r="G68" s="2" t="s">
        <v>180</v>
      </c>
      <c r="H68" s="358" t="s">
        <v>5311</v>
      </c>
      <c r="J68" s="391"/>
      <c r="K68" s="342"/>
      <c r="L68" s="189"/>
      <c r="M68" s="189" t="s">
        <v>6692</v>
      </c>
      <c r="N68" s="131">
        <v>-15162600</v>
      </c>
      <c r="O68" s="208" t="s">
        <v>4627</v>
      </c>
      <c r="P68" s="208">
        <v>-6209</v>
      </c>
      <c r="Q68" s="394">
        <v>273.79649999999998</v>
      </c>
      <c r="R68" s="394">
        <f t="shared" si="8"/>
        <v>-1700002.4685</v>
      </c>
      <c r="S68" s="208" t="s">
        <v>6181</v>
      </c>
      <c r="AB68" s="360"/>
      <c r="AC68" s="360"/>
      <c r="AJ68" s="20">
        <v>48</v>
      </c>
      <c r="AK68" s="37" t="s">
        <v>4044</v>
      </c>
      <c r="AL68" s="37">
        <v>45640000</v>
      </c>
      <c r="AM68" s="20">
        <v>1</v>
      </c>
      <c r="AN68" s="11">
        <f t="shared" si="14"/>
        <v>1290</v>
      </c>
      <c r="AO68" s="3">
        <f t="shared" si="13"/>
        <v>58875600000</v>
      </c>
      <c r="AP68" s="20"/>
    </row>
    <row r="69" spans="1:42">
      <c r="A69" s="358"/>
      <c r="B69" s="359" t="s">
        <v>4037</v>
      </c>
      <c r="C69" s="359"/>
      <c r="D69" s="377">
        <f>D66*D64</f>
        <v>3948675742.3816357</v>
      </c>
      <c r="E69" s="377">
        <f>E66*E64</f>
        <v>3781617006.9619784</v>
      </c>
      <c r="F69" s="377">
        <f>F66*F64</f>
        <v>2488732444.8423195</v>
      </c>
      <c r="G69" s="2" t="s">
        <v>5292</v>
      </c>
      <c r="H69" s="1">
        <v>30000000</v>
      </c>
      <c r="L69" s="189"/>
      <c r="M69" s="189" t="s">
        <v>6697</v>
      </c>
      <c r="N69" s="131">
        <v>-10216551.764954999</v>
      </c>
      <c r="O69" s="361" t="s">
        <v>4627</v>
      </c>
      <c r="P69" s="361">
        <v>-8014</v>
      </c>
      <c r="Q69" s="1">
        <v>273.79649999999998</v>
      </c>
      <c r="R69" s="1">
        <f t="shared" si="8"/>
        <v>-2194205.1510000001</v>
      </c>
      <c r="S69" s="361" t="s">
        <v>690</v>
      </c>
      <c r="AB69" s="360"/>
      <c r="AC69" s="360"/>
      <c r="AJ69" s="20">
        <v>49</v>
      </c>
      <c r="AK69" s="37" t="s">
        <v>4048</v>
      </c>
      <c r="AL69" s="37">
        <v>33500000</v>
      </c>
      <c r="AM69" s="20">
        <v>1</v>
      </c>
      <c r="AN69" s="11">
        <f t="shared" si="14"/>
        <v>1289</v>
      </c>
      <c r="AO69" s="3">
        <f t="shared" si="13"/>
        <v>43181500000</v>
      </c>
      <c r="AP69" s="20"/>
    </row>
    <row r="70" spans="1:42">
      <c r="A70" s="359"/>
      <c r="B70" s="358" t="s">
        <v>6891</v>
      </c>
      <c r="C70" s="358"/>
      <c r="D70" s="377">
        <f>D67*80</f>
        <v>0</v>
      </c>
      <c r="E70" s="377">
        <f>E67*E64</f>
        <v>621788475</v>
      </c>
      <c r="F70" s="377">
        <f>F67*F64</f>
        <v>1600000</v>
      </c>
      <c r="G70" s="2" t="s">
        <v>5293</v>
      </c>
      <c r="H70" s="1">
        <v>550000</v>
      </c>
      <c r="L70" s="189"/>
      <c r="M70" s="189" t="s">
        <v>6701</v>
      </c>
      <c r="N70" s="131">
        <v>-5095614.0723999999</v>
      </c>
      <c r="O70" s="361" t="s">
        <v>4636</v>
      </c>
      <c r="P70" s="361">
        <v>-9176</v>
      </c>
      <c r="Q70" s="1">
        <v>273.79649999999998</v>
      </c>
      <c r="R70" s="1">
        <f t="shared" si="8"/>
        <v>-2512356.6839999999</v>
      </c>
      <c r="S70" s="361" t="s">
        <v>422</v>
      </c>
      <c r="AB70" s="360"/>
      <c r="AC70" s="360"/>
      <c r="AJ70" s="20">
        <v>50</v>
      </c>
      <c r="AK70" s="37" t="s">
        <v>4053</v>
      </c>
      <c r="AL70" s="37">
        <v>12000000</v>
      </c>
      <c r="AM70" s="20">
        <v>1</v>
      </c>
      <c r="AN70" s="11">
        <f t="shared" si="14"/>
        <v>1288</v>
      </c>
      <c r="AO70" s="37">
        <f t="shared" si="13"/>
        <v>15456000000</v>
      </c>
      <c r="AP70" s="20"/>
    </row>
    <row r="71" spans="1:42">
      <c r="A71" s="11"/>
      <c r="B71" s="377"/>
      <c r="C71" s="377" t="s">
        <v>25</v>
      </c>
      <c r="D71" s="377">
        <f>D67*D44</f>
        <v>0</v>
      </c>
      <c r="E71" s="377">
        <f>E67*D42</f>
        <v>5028134265</v>
      </c>
      <c r="F71" s="377">
        <f>F67*D43</f>
        <v>19660000</v>
      </c>
      <c r="G71" s="2" t="s">
        <v>5294</v>
      </c>
      <c r="H71" s="1">
        <v>70370000</v>
      </c>
      <c r="L71" s="189" t="s">
        <v>6711</v>
      </c>
      <c r="M71" s="189" t="s">
        <v>6709</v>
      </c>
      <c r="N71" s="131">
        <v>-5464072.8466919996</v>
      </c>
      <c r="O71" s="361" t="s">
        <v>4636</v>
      </c>
      <c r="P71" s="361">
        <v>1087</v>
      </c>
      <c r="Q71" s="1">
        <v>273.79649999999998</v>
      </c>
      <c r="R71" s="1">
        <f t="shared" si="8"/>
        <v>297616.79550000001</v>
      </c>
      <c r="S71" s="361" t="s">
        <v>422</v>
      </c>
      <c r="AB71" s="360"/>
      <c r="AC71" s="360"/>
      <c r="AJ71" s="20">
        <v>51</v>
      </c>
      <c r="AK71" s="37" t="s">
        <v>4058</v>
      </c>
      <c r="AL71" s="37">
        <v>15500000</v>
      </c>
      <c r="AM71" s="20">
        <v>4</v>
      </c>
      <c r="AN71" s="11">
        <f t="shared" si="14"/>
        <v>1287</v>
      </c>
      <c r="AO71" s="37">
        <f t="shared" si="13"/>
        <v>19948500000</v>
      </c>
      <c r="AP71" s="20"/>
    </row>
    <row r="72" spans="1:42">
      <c r="A72" s="358" t="s">
        <v>8</v>
      </c>
      <c r="B72" s="2" t="s">
        <v>180</v>
      </c>
      <c r="C72" s="2" t="s">
        <v>4928</v>
      </c>
      <c r="D72" s="28" t="s">
        <v>4542</v>
      </c>
      <c r="E72" s="320" t="s">
        <v>4134</v>
      </c>
      <c r="F72" s="320" t="s">
        <v>5140</v>
      </c>
      <c r="G72" s="2" t="s">
        <v>5295</v>
      </c>
      <c r="H72" s="1">
        <v>1215000</v>
      </c>
      <c r="L72" s="189" t="s">
        <v>6900</v>
      </c>
      <c r="M72" s="189" t="s">
        <v>6901</v>
      </c>
      <c r="N72" s="364">
        <v>1461000</v>
      </c>
      <c r="O72" s="208" t="s">
        <v>901</v>
      </c>
      <c r="P72" s="208">
        <v>-4017</v>
      </c>
      <c r="Q72" s="394">
        <v>273.79649999999998</v>
      </c>
      <c r="R72" s="394">
        <f t="shared" si="8"/>
        <v>-1099840.5404999999</v>
      </c>
      <c r="S72" s="208" t="s">
        <v>4316</v>
      </c>
      <c r="AB72" s="360"/>
      <c r="AC72" s="360"/>
      <c r="AD72" t="s">
        <v>25</v>
      </c>
      <c r="AJ72" s="20">
        <v>52</v>
      </c>
      <c r="AK72" s="37" t="s">
        <v>4062</v>
      </c>
      <c r="AL72" s="37">
        <v>150000</v>
      </c>
      <c r="AM72" s="20">
        <v>1</v>
      </c>
      <c r="AN72" s="11">
        <f t="shared" si="14"/>
        <v>1283</v>
      </c>
      <c r="AO72" s="37">
        <f t="shared" si="13"/>
        <v>192450000</v>
      </c>
      <c r="AP72" s="20"/>
    </row>
    <row r="73" spans="1:42">
      <c r="A73" s="358"/>
      <c r="B73" s="358"/>
      <c r="C73" s="377"/>
      <c r="D73" s="377"/>
      <c r="E73" s="377"/>
      <c r="F73" s="377"/>
      <c r="G73" s="2" t="s">
        <v>5296</v>
      </c>
      <c r="H73" s="1">
        <v>15350000</v>
      </c>
      <c r="L73" s="189" t="s">
        <v>6981</v>
      </c>
      <c r="M73" s="189" t="s">
        <v>6979</v>
      </c>
      <c r="N73" s="364">
        <v>729120</v>
      </c>
      <c r="O73" s="361" t="s">
        <v>901</v>
      </c>
      <c r="P73" s="361">
        <v>4017</v>
      </c>
      <c r="Q73" s="1">
        <v>273.79649999999998</v>
      </c>
      <c r="R73" s="1">
        <f t="shared" si="8"/>
        <v>1099840.5404999999</v>
      </c>
      <c r="S73" s="361" t="s">
        <v>422</v>
      </c>
      <c r="AB73" s="360"/>
      <c r="AC73" s="360"/>
      <c r="AJ73" s="124">
        <v>53</v>
      </c>
      <c r="AK73" s="125" t="s">
        <v>4068</v>
      </c>
      <c r="AL73" s="125">
        <v>29000000</v>
      </c>
      <c r="AM73" s="124">
        <v>15</v>
      </c>
      <c r="AN73" s="124">
        <f t="shared" si="14"/>
        <v>1282</v>
      </c>
      <c r="AO73" s="125">
        <f t="shared" si="13"/>
        <v>37178000000</v>
      </c>
      <c r="AP73" s="124" t="s">
        <v>4078</v>
      </c>
    </row>
    <row r="74" spans="1:42">
      <c r="A74" s="358"/>
      <c r="B74" s="358" t="s">
        <v>6943</v>
      </c>
      <c r="C74" s="377">
        <v>487778</v>
      </c>
      <c r="D74" s="377">
        <v>37410736</v>
      </c>
      <c r="E74" s="377">
        <v>9793235</v>
      </c>
      <c r="F74" s="377">
        <v>34092042</v>
      </c>
      <c r="G74" s="2" t="s">
        <v>5297</v>
      </c>
      <c r="H74" s="1">
        <v>70000</v>
      </c>
      <c r="L74" s="374" t="s">
        <v>6995</v>
      </c>
      <c r="M74" s="374" t="s">
        <v>6993</v>
      </c>
      <c r="N74" s="37">
        <v>-4995252</v>
      </c>
      <c r="O74" s="361" t="s">
        <v>4642</v>
      </c>
      <c r="P74" s="361">
        <v>3137</v>
      </c>
      <c r="Q74" s="1">
        <v>283.69110000000001</v>
      </c>
      <c r="R74" s="1">
        <f t="shared" si="8"/>
        <v>889938.98070000007</v>
      </c>
      <c r="S74" s="361" t="s">
        <v>422</v>
      </c>
      <c r="AB74" s="360"/>
      <c r="AC74" s="360"/>
      <c r="AE74" t="s">
        <v>25</v>
      </c>
      <c r="AJ74" s="20">
        <v>54</v>
      </c>
      <c r="AK74" s="37" t="s">
        <v>4101</v>
      </c>
      <c r="AL74" s="37">
        <v>-130000</v>
      </c>
      <c r="AM74" s="20">
        <v>7</v>
      </c>
      <c r="AN74" s="11">
        <f t="shared" si="14"/>
        <v>1267</v>
      </c>
      <c r="AO74" s="37">
        <f t="shared" si="13"/>
        <v>-164710000</v>
      </c>
      <c r="AP74" s="20" t="s">
        <v>4103</v>
      </c>
    </row>
    <row r="75" spans="1:42">
      <c r="A75" s="358"/>
      <c r="B75" s="358" t="s">
        <v>6933</v>
      </c>
      <c r="C75" s="377">
        <v>480767</v>
      </c>
      <c r="D75" s="377">
        <v>37036830</v>
      </c>
      <c r="E75" s="377">
        <v>9912712</v>
      </c>
      <c r="F75" s="377">
        <v>33829310</v>
      </c>
      <c r="G75" s="2" t="s">
        <v>5301</v>
      </c>
      <c r="H75" s="1">
        <v>800000</v>
      </c>
      <c r="L75" s="189"/>
      <c r="M75" s="189"/>
      <c r="N75" s="364"/>
      <c r="O75" s="361" t="s">
        <v>4655</v>
      </c>
      <c r="P75" s="361">
        <v>101933</v>
      </c>
      <c r="Q75" s="1">
        <v>294.30973999999998</v>
      </c>
      <c r="R75" s="1">
        <f t="shared" si="8"/>
        <v>29999874.727419998</v>
      </c>
      <c r="S75" s="361" t="s">
        <v>1005</v>
      </c>
      <c r="AA75" t="s">
        <v>25</v>
      </c>
      <c r="AB75" s="360"/>
      <c r="AC75" s="360"/>
      <c r="AJ75" s="20">
        <v>55</v>
      </c>
      <c r="AK75" s="37" t="s">
        <v>4149</v>
      </c>
      <c r="AL75" s="37">
        <v>232000</v>
      </c>
      <c r="AM75" s="20">
        <v>2</v>
      </c>
      <c r="AN75" s="11">
        <f t="shared" si="14"/>
        <v>1260</v>
      </c>
      <c r="AO75" s="37">
        <f t="shared" si="13"/>
        <v>292320000</v>
      </c>
      <c r="AP75" s="20" t="s">
        <v>4151</v>
      </c>
    </row>
    <row r="76" spans="1:42">
      <c r="A76" s="358" t="s">
        <v>25</v>
      </c>
      <c r="B76" s="358" t="s">
        <v>6932</v>
      </c>
      <c r="C76" s="377">
        <v>480041</v>
      </c>
      <c r="D76" s="377">
        <v>37625305</v>
      </c>
      <c r="E76" s="377">
        <v>9990984</v>
      </c>
      <c r="F76" s="377">
        <v>33862774</v>
      </c>
      <c r="G76" s="2" t="s">
        <v>5306</v>
      </c>
      <c r="H76" s="1">
        <v>1948000</v>
      </c>
      <c r="K76" t="s">
        <v>25</v>
      </c>
      <c r="L76" s="374"/>
      <c r="M76" s="374"/>
      <c r="N76" s="37"/>
      <c r="O76" s="361" t="s">
        <v>4661</v>
      </c>
      <c r="P76" s="361">
        <v>3407</v>
      </c>
      <c r="Q76" s="1">
        <v>293.43799999999999</v>
      </c>
      <c r="R76" s="1">
        <f t="shared" si="8"/>
        <v>999743.26599999995</v>
      </c>
      <c r="S76" s="361" t="s">
        <v>422</v>
      </c>
      <c r="AA76" t="s">
        <v>25</v>
      </c>
      <c r="AB76" s="360"/>
      <c r="AC76" s="360"/>
      <c r="AD76" t="s">
        <v>25</v>
      </c>
      <c r="AJ76" s="20">
        <v>56</v>
      </c>
      <c r="AK76" s="37" t="s">
        <v>4159</v>
      </c>
      <c r="AL76" s="37">
        <v>-170000</v>
      </c>
      <c r="AM76" s="20">
        <v>3</v>
      </c>
      <c r="AN76" s="11">
        <f t="shared" si="14"/>
        <v>1258</v>
      </c>
      <c r="AO76" s="37">
        <f t="shared" si="13"/>
        <v>-213860000</v>
      </c>
      <c r="AP76" s="20"/>
    </row>
    <row r="77" spans="1:42">
      <c r="A77" s="358" t="s">
        <v>6926</v>
      </c>
      <c r="B77" s="358" t="s">
        <v>6923</v>
      </c>
      <c r="C77" s="377">
        <v>471740</v>
      </c>
      <c r="D77" s="377">
        <v>41718521</v>
      </c>
      <c r="E77" s="377">
        <v>10053480</v>
      </c>
      <c r="F77" s="377">
        <v>34308378</v>
      </c>
      <c r="G77" s="2" t="s">
        <v>5322</v>
      </c>
      <c r="H77" s="1">
        <v>5745697.3157000002</v>
      </c>
      <c r="L77" s="361" t="s">
        <v>25</v>
      </c>
      <c r="M77" s="361"/>
      <c r="N77" s="3"/>
      <c r="O77" s="361" t="s">
        <v>4662</v>
      </c>
      <c r="P77" s="361">
        <v>68796</v>
      </c>
      <c r="Q77" s="1">
        <v>293.53250000000003</v>
      </c>
      <c r="R77" s="1">
        <f t="shared" si="8"/>
        <v>20193861.870000001</v>
      </c>
      <c r="S77" s="361" t="s">
        <v>690</v>
      </c>
      <c r="AB77" s="360"/>
      <c r="AC77" s="360"/>
      <c r="AJ77" s="20">
        <v>57</v>
      </c>
      <c r="AK77" s="37" t="s">
        <v>4173</v>
      </c>
      <c r="AL77" s="37">
        <v>-300000</v>
      </c>
      <c r="AM77" s="20">
        <v>3</v>
      </c>
      <c r="AN77" s="11">
        <f t="shared" si="14"/>
        <v>1255</v>
      </c>
      <c r="AO77" s="37">
        <f t="shared" si="13"/>
        <v>-376500000</v>
      </c>
      <c r="AP77" s="20"/>
    </row>
    <row r="78" spans="1:42">
      <c r="A78" s="326" t="s">
        <v>25</v>
      </c>
      <c r="B78" s="358" t="s">
        <v>6913</v>
      </c>
      <c r="C78" s="377">
        <v>453886</v>
      </c>
      <c r="D78" s="377">
        <v>38595784</v>
      </c>
      <c r="E78" s="377">
        <v>9214097</v>
      </c>
      <c r="F78" s="377">
        <v>32466840</v>
      </c>
      <c r="G78" s="2" t="s">
        <v>5323</v>
      </c>
      <c r="H78" s="1">
        <v>908158.17935999995</v>
      </c>
      <c r="L78" s="361"/>
      <c r="M78" s="361"/>
      <c r="N78" s="3">
        <f>SUM(N20:N77)</f>
        <v>-8359048.551955983</v>
      </c>
      <c r="O78" s="361" t="s">
        <v>4662</v>
      </c>
      <c r="P78" s="361">
        <v>154791</v>
      </c>
      <c r="Q78" s="1">
        <v>293.53250000000003</v>
      </c>
      <c r="R78" s="1">
        <f t="shared" si="8"/>
        <v>45436189.207500003</v>
      </c>
      <c r="S78" s="361" t="s">
        <v>422</v>
      </c>
      <c r="AB78" s="360"/>
      <c r="AC78" s="360"/>
      <c r="AD78" t="s">
        <v>25</v>
      </c>
      <c r="AE78" t="s">
        <v>25</v>
      </c>
      <c r="AJ78" s="20">
        <v>58</v>
      </c>
      <c r="AK78" s="37" t="s">
        <v>4182</v>
      </c>
      <c r="AL78" s="37">
        <v>-11400000</v>
      </c>
      <c r="AM78" s="20">
        <v>13</v>
      </c>
      <c r="AN78" s="11">
        <f t="shared" ref="AN78:AN83" si="15">AN79+AM78</f>
        <v>1252</v>
      </c>
      <c r="AO78" s="37">
        <f t="shared" si="13"/>
        <v>-14272800000</v>
      </c>
      <c r="AP78" s="20"/>
    </row>
    <row r="79" spans="1:42">
      <c r="A79" s="358" t="s">
        <v>25</v>
      </c>
      <c r="B79" s="358" t="s">
        <v>6902</v>
      </c>
      <c r="C79" s="377">
        <v>468072</v>
      </c>
      <c r="D79" s="377">
        <v>39399994</v>
      </c>
      <c r="E79" s="377">
        <v>9124209</v>
      </c>
      <c r="F79" s="377">
        <v>32640999</v>
      </c>
      <c r="G79" s="2" t="s">
        <v>5324</v>
      </c>
      <c r="H79" s="1">
        <v>12642697.648548001</v>
      </c>
      <c r="L79" s="361"/>
      <c r="M79" s="361"/>
      <c r="N79" s="2" t="s">
        <v>6</v>
      </c>
      <c r="O79" s="361" t="s">
        <v>4662</v>
      </c>
      <c r="P79" s="361">
        <v>-11923</v>
      </c>
      <c r="Q79" s="1">
        <v>293.53250000000003</v>
      </c>
      <c r="R79" s="1">
        <f t="shared" si="8"/>
        <v>-3499787.9975000005</v>
      </c>
      <c r="S79" s="361" t="s">
        <v>422</v>
      </c>
      <c r="AB79" s="360"/>
      <c r="AC79" s="360"/>
      <c r="AE79" t="s">
        <v>25</v>
      </c>
      <c r="AJ79" s="20">
        <v>59</v>
      </c>
      <c r="AK79" s="37" t="s">
        <v>4228</v>
      </c>
      <c r="AL79" s="37">
        <v>-10000000</v>
      </c>
      <c r="AM79" s="20">
        <v>1</v>
      </c>
      <c r="AN79" s="11">
        <f t="shared" si="15"/>
        <v>1239</v>
      </c>
      <c r="AO79" s="37">
        <f t="shared" si="13"/>
        <v>-12390000000</v>
      </c>
      <c r="AP79" s="20"/>
    </row>
    <row r="80" spans="1:42">
      <c r="A80" s="358" t="s">
        <v>25</v>
      </c>
      <c r="B80" s="358" t="s">
        <v>6898</v>
      </c>
      <c r="C80" s="377">
        <v>469316</v>
      </c>
      <c r="D80" s="377">
        <v>38277551</v>
      </c>
      <c r="E80" s="377">
        <v>9048005</v>
      </c>
      <c r="F80" s="377">
        <v>32809329</v>
      </c>
      <c r="G80" s="2" t="s">
        <v>5325</v>
      </c>
      <c r="H80" s="1">
        <v>12297318</v>
      </c>
      <c r="L80" s="35"/>
      <c r="M80" s="35"/>
      <c r="O80" s="361" t="s">
        <v>4674</v>
      </c>
      <c r="P80" s="361">
        <v>8424</v>
      </c>
      <c r="Q80" s="1">
        <v>299.15170000000001</v>
      </c>
      <c r="R80" s="1">
        <f t="shared" si="8"/>
        <v>2520053.9208</v>
      </c>
      <c r="S80" s="361" t="s">
        <v>422</v>
      </c>
      <c r="AB80" s="360"/>
      <c r="AC80" s="360"/>
      <c r="AJ80" s="20">
        <v>60</v>
      </c>
      <c r="AK80" s="37" t="s">
        <v>4229</v>
      </c>
      <c r="AL80" s="37">
        <v>-2450000</v>
      </c>
      <c r="AM80" s="20">
        <v>5</v>
      </c>
      <c r="AN80" s="11">
        <f t="shared" si="15"/>
        <v>1238</v>
      </c>
      <c r="AO80" s="37">
        <f t="shared" si="13"/>
        <v>-3033100000</v>
      </c>
      <c r="AP80" s="20"/>
    </row>
    <row r="81" spans="1:54">
      <c r="A81" s="358" t="s">
        <v>25</v>
      </c>
      <c r="B81" s="358" t="s">
        <v>6805</v>
      </c>
      <c r="C81" s="377">
        <v>442128</v>
      </c>
      <c r="D81" s="377">
        <v>36980981</v>
      </c>
      <c r="E81" s="377">
        <v>8921869</v>
      </c>
      <c r="F81" s="377">
        <v>33104439</v>
      </c>
      <c r="G81" s="2" t="s">
        <v>5326</v>
      </c>
      <c r="H81" s="1">
        <v>8959644</v>
      </c>
      <c r="L81" s="35" t="s">
        <v>25</v>
      </c>
      <c r="M81" s="35" t="s">
        <v>25</v>
      </c>
      <c r="O81" s="361" t="s">
        <v>4709</v>
      </c>
      <c r="P81" s="361">
        <v>15943</v>
      </c>
      <c r="Q81" s="1">
        <v>307.34415000000001</v>
      </c>
      <c r="R81" s="1">
        <f t="shared" si="8"/>
        <v>4899987.78345</v>
      </c>
      <c r="S81" s="361" t="s">
        <v>422</v>
      </c>
      <c r="AB81" s="360"/>
      <c r="AC81" s="360"/>
      <c r="AD81" t="s">
        <v>25</v>
      </c>
      <c r="AJ81" s="20">
        <v>61</v>
      </c>
      <c r="AK81" s="37" t="s">
        <v>4250</v>
      </c>
      <c r="AL81" s="37">
        <v>-456081</v>
      </c>
      <c r="AM81" s="20">
        <v>1</v>
      </c>
      <c r="AN81" s="11">
        <f t="shared" si="15"/>
        <v>1233</v>
      </c>
      <c r="AO81" s="37">
        <f t="shared" si="13"/>
        <v>-562347873</v>
      </c>
      <c r="AP81" s="20"/>
    </row>
    <row r="82" spans="1:54">
      <c r="A82" s="358"/>
      <c r="B82" s="358" t="s">
        <v>6893</v>
      </c>
      <c r="C82" s="377">
        <v>409513</v>
      </c>
      <c r="D82" s="377">
        <v>36818570</v>
      </c>
      <c r="E82" s="377">
        <v>8789365</v>
      </c>
      <c r="F82" s="377">
        <v>33387888</v>
      </c>
      <c r="G82" s="2" t="s">
        <v>5327</v>
      </c>
      <c r="H82" s="359">
        <v>15154095.839328</v>
      </c>
      <c r="L82" s="35" t="s">
        <v>25</v>
      </c>
      <c r="M82" s="361" t="s">
        <v>690</v>
      </c>
      <c r="N82" s="361"/>
      <c r="O82" s="361" t="s">
        <v>4721</v>
      </c>
      <c r="P82" s="361">
        <v>3741</v>
      </c>
      <c r="Q82" s="1">
        <v>307.34415000000001</v>
      </c>
      <c r="R82" s="1">
        <f t="shared" si="8"/>
        <v>1149774.4651500001</v>
      </c>
      <c r="S82" s="361" t="s">
        <v>422</v>
      </c>
      <c r="AB82" s="360"/>
      <c r="AC82" s="360"/>
      <c r="AJ82" s="20">
        <v>62</v>
      </c>
      <c r="AK82" s="37" t="s">
        <v>4252</v>
      </c>
      <c r="AL82" s="37">
        <v>-500000</v>
      </c>
      <c r="AM82" s="20">
        <v>2</v>
      </c>
      <c r="AN82" s="11">
        <f t="shared" si="15"/>
        <v>1232</v>
      </c>
      <c r="AO82" s="37">
        <f t="shared" si="13"/>
        <v>-616000000</v>
      </c>
      <c r="AP82" s="20"/>
      <c r="AQ82" t="s">
        <v>25</v>
      </c>
      <c r="AY82" t="s">
        <v>25</v>
      </c>
    </row>
    <row r="83" spans="1:54">
      <c r="A83" s="358"/>
      <c r="B83" s="358" t="s">
        <v>6892</v>
      </c>
      <c r="C83" s="377">
        <v>387883</v>
      </c>
      <c r="D83" s="377">
        <v>37338251</v>
      </c>
      <c r="E83" s="377">
        <v>8831107</v>
      </c>
      <c r="F83" s="377">
        <v>33293273</v>
      </c>
      <c r="G83" s="2" t="s">
        <v>5332</v>
      </c>
      <c r="H83" s="3">
        <v>4108143</v>
      </c>
      <c r="J83" s="383"/>
      <c r="L83" s="35"/>
      <c r="M83" s="361" t="s">
        <v>4310</v>
      </c>
      <c r="N83" s="1">
        <v>172908000</v>
      </c>
      <c r="O83" s="361" t="s">
        <v>4726</v>
      </c>
      <c r="P83" s="361">
        <v>-6207</v>
      </c>
      <c r="Q83" s="1">
        <v>322.214</v>
      </c>
      <c r="R83" s="1">
        <f t="shared" si="8"/>
        <v>-1999982.298</v>
      </c>
      <c r="S83" s="361" t="s">
        <v>690</v>
      </c>
      <c r="AB83" s="360"/>
      <c r="AC83" s="360"/>
      <c r="AE83" s="76"/>
      <c r="AJ83" s="20">
        <v>63</v>
      </c>
      <c r="AK83" s="37" t="s">
        <v>4268</v>
      </c>
      <c r="AL83" s="37">
        <v>-6234370</v>
      </c>
      <c r="AM83" s="20">
        <v>3</v>
      </c>
      <c r="AN83" s="11">
        <f t="shared" si="15"/>
        <v>1230</v>
      </c>
      <c r="AO83" s="37">
        <f t="shared" si="13"/>
        <v>-7668275100</v>
      </c>
      <c r="AP83" s="20"/>
    </row>
    <row r="84" spans="1:54">
      <c r="A84" s="358"/>
      <c r="B84" s="358" t="s">
        <v>6887</v>
      </c>
      <c r="C84" s="377">
        <v>385805</v>
      </c>
      <c r="D84" s="377">
        <v>37781250</v>
      </c>
      <c r="E84" s="377">
        <v>8976216</v>
      </c>
      <c r="F84" s="377">
        <v>32942272</v>
      </c>
      <c r="G84" s="2" t="s">
        <v>5334</v>
      </c>
      <c r="H84" s="3">
        <v>6000000</v>
      </c>
      <c r="J84" s="383"/>
      <c r="M84" s="361" t="s">
        <v>4337</v>
      </c>
      <c r="N84" s="1">
        <v>1400000</v>
      </c>
      <c r="O84" s="361" t="s">
        <v>4726</v>
      </c>
      <c r="P84" s="361">
        <v>6207</v>
      </c>
      <c r="Q84" s="1">
        <v>322.214</v>
      </c>
      <c r="R84" s="1">
        <f t="shared" si="8"/>
        <v>1999982.298</v>
      </c>
      <c r="S84" s="361" t="s">
        <v>4316</v>
      </c>
      <c r="AB84" s="360"/>
      <c r="AC84" s="360"/>
      <c r="AE84" s="76"/>
      <c r="AJ84" s="20">
        <v>64</v>
      </c>
      <c r="AK84" s="37" t="s">
        <v>4277</v>
      </c>
      <c r="AL84" s="37">
        <v>1950957</v>
      </c>
      <c r="AM84" s="20">
        <v>4</v>
      </c>
      <c r="AN84" s="11">
        <f t="shared" si="14"/>
        <v>1227</v>
      </c>
      <c r="AO84" s="37">
        <f t="shared" si="13"/>
        <v>2393824239</v>
      </c>
      <c r="AP84" s="20"/>
      <c r="BB84" t="s">
        <v>25</v>
      </c>
    </row>
    <row r="85" spans="1:54">
      <c r="A85" s="358"/>
      <c r="B85" s="358" t="s">
        <v>6886</v>
      </c>
      <c r="C85" s="377">
        <v>355297</v>
      </c>
      <c r="D85" s="377">
        <v>37329500</v>
      </c>
      <c r="E85" s="377">
        <v>9126892</v>
      </c>
      <c r="F85" s="377">
        <v>32564032</v>
      </c>
      <c r="G85" s="2" t="s">
        <v>5338</v>
      </c>
      <c r="H85" s="3">
        <v>8301786</v>
      </c>
      <c r="M85" s="361" t="s">
        <v>4123</v>
      </c>
      <c r="N85" s="1">
        <v>247393</v>
      </c>
      <c r="O85" s="361" t="s">
        <v>4681</v>
      </c>
      <c r="P85" s="361">
        <v>776</v>
      </c>
      <c r="Q85" s="1">
        <v>322.214</v>
      </c>
      <c r="R85" s="1">
        <f t="shared" si="8"/>
        <v>250038.06400000001</v>
      </c>
      <c r="S85" s="361" t="s">
        <v>422</v>
      </c>
      <c r="AB85" s="360"/>
      <c r="AC85" s="360"/>
      <c r="AE85" s="76"/>
      <c r="AJ85" s="20">
        <v>65</v>
      </c>
      <c r="AK85" s="37" t="s">
        <v>4299</v>
      </c>
      <c r="AL85" s="37">
        <v>600000</v>
      </c>
      <c r="AM85" s="20">
        <v>5</v>
      </c>
      <c r="AN85" s="11">
        <f t="shared" si="14"/>
        <v>1223</v>
      </c>
      <c r="AO85" s="37">
        <f t="shared" si="13"/>
        <v>733800000</v>
      </c>
      <c r="AP85" s="20"/>
    </row>
    <row r="86" spans="1:54">
      <c r="A86" s="358"/>
      <c r="B86" s="358" t="s">
        <v>6883</v>
      </c>
      <c r="C86" s="377">
        <v>351644</v>
      </c>
      <c r="D86" s="377">
        <v>36977897</v>
      </c>
      <c r="E86" s="377">
        <v>8974485</v>
      </c>
      <c r="F86" s="377">
        <v>32984525</v>
      </c>
      <c r="G86" s="2" t="s">
        <v>5342</v>
      </c>
      <c r="H86" s="3">
        <v>50725508.571864001</v>
      </c>
      <c r="M86" s="361" t="s">
        <v>4122</v>
      </c>
      <c r="N86" s="1">
        <v>6780000</v>
      </c>
      <c r="O86" s="361" t="s">
        <v>4745</v>
      </c>
      <c r="P86" s="361">
        <v>1524</v>
      </c>
      <c r="Q86" s="1">
        <v>314.95999999999998</v>
      </c>
      <c r="R86" s="1">
        <f t="shared" si="8"/>
        <v>479999.04</v>
      </c>
      <c r="S86" s="361" t="s">
        <v>1005</v>
      </c>
      <c r="AB86" s="360"/>
      <c r="AC86" s="360"/>
      <c r="AE86" s="76"/>
      <c r="AJ86" s="20">
        <v>66</v>
      </c>
      <c r="AK86" s="37" t="s">
        <v>4307</v>
      </c>
      <c r="AL86" s="37">
        <v>7500000</v>
      </c>
      <c r="AM86" s="20">
        <v>2</v>
      </c>
      <c r="AN86" s="11">
        <f t="shared" si="14"/>
        <v>1218</v>
      </c>
      <c r="AO86" s="37">
        <f t="shared" si="13"/>
        <v>9135000000</v>
      </c>
      <c r="AP86" s="20"/>
    </row>
    <row r="87" spans="1:54">
      <c r="A87" s="358" t="s">
        <v>25</v>
      </c>
      <c r="B87" s="358" t="s">
        <v>6874</v>
      </c>
      <c r="C87" s="377">
        <v>372558</v>
      </c>
      <c r="D87" s="377">
        <v>37554731</v>
      </c>
      <c r="E87" s="377">
        <v>9266678</v>
      </c>
      <c r="F87" s="377">
        <v>32026938</v>
      </c>
      <c r="G87" s="2" t="s">
        <v>5343</v>
      </c>
      <c r="H87" s="3">
        <v>2281961.458596</v>
      </c>
      <c r="M87" s="361" t="s">
        <v>4422</v>
      </c>
      <c r="N87" s="1">
        <v>-4000000</v>
      </c>
      <c r="O87" s="361" t="s">
        <v>4752</v>
      </c>
      <c r="P87" s="361">
        <v>4435</v>
      </c>
      <c r="Q87" s="1">
        <v>316.4375</v>
      </c>
      <c r="R87" s="1">
        <f t="shared" si="8"/>
        <v>1403400.3125</v>
      </c>
      <c r="S87" s="361" t="s">
        <v>422</v>
      </c>
      <c r="AB87" s="360"/>
      <c r="AC87" s="360"/>
      <c r="AD87" t="s">
        <v>25</v>
      </c>
      <c r="AE87" s="76"/>
      <c r="AJ87" s="20">
        <v>67</v>
      </c>
      <c r="AK87" s="37" t="s">
        <v>4311</v>
      </c>
      <c r="AL87" s="37">
        <v>-587816</v>
      </c>
      <c r="AM87" s="20">
        <v>3</v>
      </c>
      <c r="AN87" s="11">
        <f t="shared" si="14"/>
        <v>1216</v>
      </c>
      <c r="AO87" s="37">
        <f t="shared" si="13"/>
        <v>-714784256</v>
      </c>
      <c r="AP87" s="20"/>
    </row>
    <row r="88" spans="1:54">
      <c r="A88" s="358"/>
      <c r="B88" s="358" t="s">
        <v>6873</v>
      </c>
      <c r="C88" s="377">
        <v>354811</v>
      </c>
      <c r="D88" s="377">
        <v>38043191</v>
      </c>
      <c r="E88" s="377">
        <v>9312125</v>
      </c>
      <c r="F88" s="377">
        <v>31783799</v>
      </c>
      <c r="G88" s="2" t="s">
        <v>5350</v>
      </c>
      <c r="H88" s="3">
        <v>10998285</v>
      </c>
      <c r="M88" s="361" t="s">
        <v>4446</v>
      </c>
      <c r="N88" s="1">
        <v>16727037</v>
      </c>
      <c r="O88" s="361" t="s">
        <v>4755</v>
      </c>
      <c r="P88" s="361">
        <v>624</v>
      </c>
      <c r="Q88" s="1">
        <v>320.5</v>
      </c>
      <c r="R88" s="1">
        <f t="shared" si="8"/>
        <v>199992</v>
      </c>
      <c r="S88" s="361" t="s">
        <v>422</v>
      </c>
      <c r="AB88" s="360"/>
      <c r="AC88" s="360"/>
      <c r="AE88" s="76"/>
      <c r="AJ88" s="20">
        <v>68</v>
      </c>
      <c r="AK88" s="37" t="s">
        <v>4310</v>
      </c>
      <c r="AL88" s="37">
        <v>-907489</v>
      </c>
      <c r="AM88" s="20">
        <v>0</v>
      </c>
      <c r="AN88" s="11">
        <f>AN89+AM88</f>
        <v>1213</v>
      </c>
      <c r="AO88" s="37">
        <f t="shared" si="13"/>
        <v>-1100784157</v>
      </c>
      <c r="AP88" s="20"/>
      <c r="AR88" t="s">
        <v>25</v>
      </c>
      <c r="AX88" t="s">
        <v>25</v>
      </c>
    </row>
    <row r="89" spans="1:54">
      <c r="A89" s="358"/>
      <c r="B89" s="358" t="s">
        <v>6872</v>
      </c>
      <c r="C89" s="377">
        <v>334855</v>
      </c>
      <c r="D89" s="377">
        <v>37632793</v>
      </c>
      <c r="E89" s="377">
        <v>9354560</v>
      </c>
      <c r="F89" s="377">
        <v>31553649</v>
      </c>
      <c r="G89" s="2" t="s">
        <v>5351</v>
      </c>
      <c r="H89" s="3">
        <v>983018.96187300002</v>
      </c>
      <c r="M89" s="361" t="s">
        <v>4451</v>
      </c>
      <c r="N89" s="1">
        <v>46460683</v>
      </c>
      <c r="O89" s="361" t="s">
        <v>4760</v>
      </c>
      <c r="P89" s="361">
        <v>1086</v>
      </c>
      <c r="Q89" s="1">
        <v>317.55</v>
      </c>
      <c r="R89" s="1">
        <f t="shared" si="8"/>
        <v>344859.3</v>
      </c>
      <c r="S89" s="361" t="s">
        <v>422</v>
      </c>
      <c r="AB89" s="360"/>
      <c r="AC89" s="360"/>
      <c r="AE89" t="s">
        <v>25</v>
      </c>
      <c r="AJ89" s="20">
        <v>69</v>
      </c>
      <c r="AK89" s="37" t="s">
        <v>4310</v>
      </c>
      <c r="AL89" s="37">
        <v>2450000</v>
      </c>
      <c r="AM89" s="20">
        <v>1</v>
      </c>
      <c r="AN89" s="11">
        <f t="shared" si="14"/>
        <v>1213</v>
      </c>
      <c r="AO89" s="37">
        <f t="shared" si="13"/>
        <v>2971850000</v>
      </c>
      <c r="AP89" s="20" t="s">
        <v>4335</v>
      </c>
      <c r="AS89" t="s">
        <v>25</v>
      </c>
      <c r="AT89" t="s">
        <v>25</v>
      </c>
    </row>
    <row r="90" spans="1:54">
      <c r="A90" s="358"/>
      <c r="B90" s="358" t="s">
        <v>6871</v>
      </c>
      <c r="C90" s="377">
        <v>348088</v>
      </c>
      <c r="D90" s="377">
        <v>38494462</v>
      </c>
      <c r="E90" s="377">
        <v>9370072</v>
      </c>
      <c r="F90" s="377">
        <v>31341277</v>
      </c>
      <c r="G90" s="2" t="s">
        <v>5353</v>
      </c>
      <c r="H90" s="3">
        <v>17049271.032000002</v>
      </c>
      <c r="M90" s="361" t="s">
        <v>4452</v>
      </c>
      <c r="N90" s="1">
        <v>19663646</v>
      </c>
      <c r="O90" s="361" t="s">
        <v>4765</v>
      </c>
      <c r="P90" s="361">
        <v>2820</v>
      </c>
      <c r="Q90" s="1">
        <v>319.1096</v>
      </c>
      <c r="R90" s="1">
        <f t="shared" si="8"/>
        <v>899889.07200000004</v>
      </c>
      <c r="S90" s="361" t="s">
        <v>422</v>
      </c>
      <c r="AB90" s="360"/>
      <c r="AC90" s="360"/>
      <c r="AJ90" s="20">
        <v>70</v>
      </c>
      <c r="AK90" s="37" t="s">
        <v>4337</v>
      </c>
      <c r="AL90" s="37">
        <v>1500000</v>
      </c>
      <c r="AM90" s="20">
        <v>1</v>
      </c>
      <c r="AN90" s="11">
        <f t="shared" si="14"/>
        <v>1212</v>
      </c>
      <c r="AO90" s="37">
        <f t="shared" si="13"/>
        <v>1818000000</v>
      </c>
      <c r="AP90" s="20"/>
      <c r="AR90" t="s">
        <v>25</v>
      </c>
      <c r="AW90" t="s">
        <v>25</v>
      </c>
    </row>
    <row r="91" spans="1:54">
      <c r="A91" s="358"/>
      <c r="B91" s="358" t="s">
        <v>6870</v>
      </c>
      <c r="C91" s="377">
        <v>358198</v>
      </c>
      <c r="D91" s="377">
        <v>38952936</v>
      </c>
      <c r="E91" s="377">
        <v>9314354</v>
      </c>
      <c r="F91" s="377">
        <v>31625896</v>
      </c>
      <c r="G91" s="2" t="s">
        <v>5356</v>
      </c>
      <c r="H91" s="3">
        <v>6829998</v>
      </c>
      <c r="M91" s="361" t="s">
        <v>4473</v>
      </c>
      <c r="N91" s="1">
        <v>4374525</v>
      </c>
      <c r="O91" s="361" t="s">
        <v>4768</v>
      </c>
      <c r="P91" s="361">
        <v>1145</v>
      </c>
      <c r="Q91" s="1">
        <v>325.44</v>
      </c>
      <c r="R91" s="1">
        <f t="shared" si="8"/>
        <v>372628.8</v>
      </c>
      <c r="S91" s="361" t="s">
        <v>422</v>
      </c>
      <c r="AB91" s="360"/>
      <c r="AC91" s="360"/>
      <c r="AJ91" s="20">
        <v>71</v>
      </c>
      <c r="AK91" s="37" t="s">
        <v>4343</v>
      </c>
      <c r="AL91" s="37">
        <v>2648000</v>
      </c>
      <c r="AM91" s="20">
        <v>1</v>
      </c>
      <c r="AN91" s="11">
        <f t="shared" si="14"/>
        <v>1211</v>
      </c>
      <c r="AO91" s="37">
        <f t="shared" si="13"/>
        <v>3206728000</v>
      </c>
      <c r="AP91" s="20" t="s">
        <v>4344</v>
      </c>
      <c r="AW91" t="s">
        <v>25</v>
      </c>
    </row>
    <row r="92" spans="1:54">
      <c r="A92" s="358"/>
      <c r="B92" s="358" t="s">
        <v>6868</v>
      </c>
      <c r="C92" s="377">
        <v>378185</v>
      </c>
      <c r="D92" s="377">
        <v>33616489</v>
      </c>
      <c r="E92" s="377">
        <v>9218926</v>
      </c>
      <c r="F92" s="377">
        <v>31938891</v>
      </c>
      <c r="G92" s="2" t="s">
        <v>4127</v>
      </c>
      <c r="H92" s="3">
        <v>6982608.8207999999</v>
      </c>
      <c r="M92" s="361" t="s">
        <v>4484</v>
      </c>
      <c r="N92" s="1">
        <v>6550580</v>
      </c>
      <c r="O92" s="361" t="s">
        <v>4776</v>
      </c>
      <c r="P92" s="361">
        <v>20153</v>
      </c>
      <c r="Q92" s="1">
        <v>322</v>
      </c>
      <c r="R92" s="1">
        <f t="shared" si="8"/>
        <v>6489266</v>
      </c>
      <c r="S92" s="361" t="s">
        <v>422</v>
      </c>
      <c r="AA92" t="s">
        <v>25</v>
      </c>
      <c r="AB92" s="360"/>
      <c r="AC92" s="360"/>
      <c r="AJ92" s="20">
        <v>72</v>
      </c>
      <c r="AK92" s="37" t="s">
        <v>4123</v>
      </c>
      <c r="AL92" s="37">
        <v>615000</v>
      </c>
      <c r="AM92" s="20">
        <v>4</v>
      </c>
      <c r="AN92" s="11">
        <f t="shared" si="14"/>
        <v>1210</v>
      </c>
      <c r="AO92" s="37">
        <f t="shared" si="13"/>
        <v>744150000</v>
      </c>
      <c r="AP92" s="20"/>
      <c r="AX92" t="s">
        <v>25</v>
      </c>
    </row>
    <row r="93" spans="1:54">
      <c r="A93" s="358"/>
      <c r="B93" s="358" t="s">
        <v>6866</v>
      </c>
      <c r="C93" s="358">
        <v>379455</v>
      </c>
      <c r="D93" s="361">
        <v>33866189</v>
      </c>
      <c r="E93" s="377">
        <v>9138736</v>
      </c>
      <c r="F93" s="377">
        <v>32107752</v>
      </c>
      <c r="G93" s="2" t="s">
        <v>5373</v>
      </c>
      <c r="H93" s="3">
        <v>7510131.0216000006</v>
      </c>
      <c r="M93" s="361" t="s">
        <v>4486</v>
      </c>
      <c r="N93" s="1">
        <v>6650895</v>
      </c>
      <c r="O93" s="361" t="s">
        <v>4786</v>
      </c>
      <c r="P93" s="361">
        <v>93720</v>
      </c>
      <c r="Q93" s="1">
        <v>325.435</v>
      </c>
      <c r="R93" s="1">
        <f t="shared" si="8"/>
        <v>30499768.199999999</v>
      </c>
      <c r="S93" s="361" t="s">
        <v>1005</v>
      </c>
      <c r="AB93" s="360"/>
      <c r="AC93" s="360"/>
      <c r="AJ93" s="20">
        <v>73</v>
      </c>
      <c r="AK93" s="37" t="s">
        <v>4354</v>
      </c>
      <c r="AL93" s="37">
        <v>14000000</v>
      </c>
      <c r="AM93" s="20">
        <v>2</v>
      </c>
      <c r="AN93" s="11">
        <f>AN94+AM93</f>
        <v>1206</v>
      </c>
      <c r="AO93" s="37">
        <f t="shared" si="13"/>
        <v>16884000000</v>
      </c>
      <c r="AP93" s="20"/>
    </row>
    <row r="94" spans="1:54">
      <c r="A94" s="358"/>
      <c r="B94" s="173" t="s">
        <v>6865</v>
      </c>
      <c r="C94" s="390">
        <v>371740</v>
      </c>
      <c r="D94" s="390">
        <v>33312756</v>
      </c>
      <c r="E94" s="390">
        <v>8899110</v>
      </c>
      <c r="F94" s="390">
        <v>30745420</v>
      </c>
      <c r="G94" s="2" t="s">
        <v>5378</v>
      </c>
      <c r="H94" s="3">
        <v>10397191</v>
      </c>
      <c r="M94" s="361" t="s">
        <v>4499</v>
      </c>
      <c r="N94" s="1">
        <v>2145814</v>
      </c>
      <c r="O94" s="361" t="s">
        <v>4786</v>
      </c>
      <c r="P94" s="361">
        <v>20895</v>
      </c>
      <c r="Q94" s="1">
        <v>325.435</v>
      </c>
      <c r="R94" s="1">
        <f t="shared" si="8"/>
        <v>6799964.3250000002</v>
      </c>
      <c r="S94" s="361" t="s">
        <v>690</v>
      </c>
      <c r="AB94" s="360"/>
      <c r="AC94" s="360"/>
      <c r="AJ94" s="20">
        <v>74</v>
      </c>
      <c r="AK94" s="37" t="s">
        <v>4358</v>
      </c>
      <c r="AL94" s="37">
        <v>1313000</v>
      </c>
      <c r="AM94" s="20">
        <v>0</v>
      </c>
      <c r="AN94" s="11">
        <f>AN95+AM94</f>
        <v>1204</v>
      </c>
      <c r="AO94" s="37">
        <f t="shared" si="13"/>
        <v>1580852000</v>
      </c>
      <c r="AP94" s="20"/>
      <c r="AS94" t="s">
        <v>25</v>
      </c>
    </row>
    <row r="95" spans="1:54">
      <c r="A95" s="358"/>
      <c r="B95" s="358" t="s">
        <v>6864</v>
      </c>
      <c r="C95" s="377">
        <v>364203</v>
      </c>
      <c r="D95" s="377">
        <v>32308367</v>
      </c>
      <c r="E95" s="377">
        <v>8972536</v>
      </c>
      <c r="F95" s="377">
        <v>30523715</v>
      </c>
      <c r="G95" s="2" t="s">
        <v>5386</v>
      </c>
      <c r="H95" s="3">
        <v>195059.35799999998</v>
      </c>
      <c r="M95" s="361" t="s">
        <v>4509</v>
      </c>
      <c r="N95" s="1">
        <v>4369730</v>
      </c>
      <c r="O95" s="361" t="s">
        <v>4793</v>
      </c>
      <c r="P95" s="361">
        <v>2611</v>
      </c>
      <c r="Q95" s="1">
        <v>325.435</v>
      </c>
      <c r="R95" s="1">
        <f t="shared" si="8"/>
        <v>849710.78500000003</v>
      </c>
      <c r="S95" s="361" t="s">
        <v>690</v>
      </c>
      <c r="AB95" s="360"/>
      <c r="AC95" s="360"/>
      <c r="AJ95" s="11">
        <v>75</v>
      </c>
      <c r="AK95" s="3" t="s">
        <v>4358</v>
      </c>
      <c r="AL95" s="3">
        <v>2269000</v>
      </c>
      <c r="AM95" s="11">
        <v>1</v>
      </c>
      <c r="AN95" s="11">
        <f t="shared" ref="AN95:AN120" si="16">AN96+AM95</f>
        <v>1204</v>
      </c>
      <c r="AO95" s="37">
        <f t="shared" si="13"/>
        <v>2731876000</v>
      </c>
      <c r="AP95" s="11"/>
    </row>
    <row r="96" spans="1:54">
      <c r="A96" s="358"/>
      <c r="B96" s="358" t="s">
        <v>6863</v>
      </c>
      <c r="C96" s="377">
        <v>364081</v>
      </c>
      <c r="D96" s="377">
        <v>32039128</v>
      </c>
      <c r="E96" s="377">
        <v>8899758</v>
      </c>
      <c r="F96" s="377">
        <v>30925799</v>
      </c>
      <c r="G96" s="2" t="s">
        <v>5390</v>
      </c>
      <c r="H96" s="3">
        <v>744082</v>
      </c>
      <c r="M96" s="361" t="s">
        <v>4511</v>
      </c>
      <c r="N96" s="1">
        <v>8739459</v>
      </c>
      <c r="O96" s="361" t="s">
        <v>4799</v>
      </c>
      <c r="P96" s="361">
        <v>6750</v>
      </c>
      <c r="Q96" s="1">
        <v>339.3</v>
      </c>
      <c r="R96" s="1">
        <f t="shared" si="8"/>
        <v>2290275</v>
      </c>
      <c r="S96" s="361" t="s">
        <v>690</v>
      </c>
      <c r="AB96" s="360"/>
      <c r="AC96" s="360"/>
      <c r="AJ96" s="11">
        <v>76</v>
      </c>
      <c r="AK96" s="3" t="s">
        <v>4124</v>
      </c>
      <c r="AL96" s="3">
        <v>750000</v>
      </c>
      <c r="AM96" s="11">
        <v>4</v>
      </c>
      <c r="AN96" s="11">
        <f t="shared" si="16"/>
        <v>1203</v>
      </c>
      <c r="AO96" s="37">
        <f t="shared" ref="AO96:AO120" si="17">AL96*AN96</f>
        <v>902250000</v>
      </c>
      <c r="AP96" s="11"/>
      <c r="AS96" t="s">
        <v>25</v>
      </c>
    </row>
    <row r="97" spans="1:44">
      <c r="A97" s="358"/>
      <c r="B97" s="358" t="s">
        <v>6862</v>
      </c>
      <c r="C97" s="377">
        <v>391841</v>
      </c>
      <c r="D97" s="377">
        <v>32743923</v>
      </c>
      <c r="E97" s="377">
        <v>8938206</v>
      </c>
      <c r="F97" s="377">
        <v>30678444</v>
      </c>
      <c r="G97" s="2" t="s">
        <v>5392</v>
      </c>
      <c r="H97" s="3">
        <v>920308.446</v>
      </c>
      <c r="M97" s="361" t="s">
        <v>4520</v>
      </c>
      <c r="N97" s="1">
        <v>6667654</v>
      </c>
      <c r="O97" s="361" t="s">
        <v>4805</v>
      </c>
      <c r="P97" s="361">
        <v>1850</v>
      </c>
      <c r="Q97" s="1">
        <v>334.10050000000001</v>
      </c>
      <c r="R97" s="1">
        <f t="shared" si="8"/>
        <v>618085.92500000005</v>
      </c>
      <c r="S97" s="361" t="s">
        <v>422</v>
      </c>
      <c r="AB97" s="360"/>
      <c r="AC97" s="360"/>
      <c r="AJ97" s="11">
        <v>77</v>
      </c>
      <c r="AK97" s="3" t="s">
        <v>4362</v>
      </c>
      <c r="AL97" s="3">
        <v>1900000</v>
      </c>
      <c r="AM97" s="11">
        <v>3</v>
      </c>
      <c r="AN97" s="11">
        <f t="shared" si="16"/>
        <v>1199</v>
      </c>
      <c r="AO97" s="37">
        <f t="shared" si="17"/>
        <v>2278100000</v>
      </c>
      <c r="AP97" s="11"/>
    </row>
    <row r="98" spans="1:44">
      <c r="A98" s="358"/>
      <c r="B98" s="358" t="s">
        <v>6839</v>
      </c>
      <c r="C98" s="377">
        <v>39875</v>
      </c>
      <c r="D98" s="377">
        <v>34422304</v>
      </c>
      <c r="E98" s="377">
        <v>8910803</v>
      </c>
      <c r="F98" s="377">
        <v>30058048</v>
      </c>
      <c r="G98" s="2" t="s">
        <v>5393</v>
      </c>
      <c r="H98" s="3">
        <v>4635809.8416840006</v>
      </c>
      <c r="M98" s="361" t="s">
        <v>4527</v>
      </c>
      <c r="N98" s="1">
        <v>8981245</v>
      </c>
      <c r="O98" s="361" t="s">
        <v>4805</v>
      </c>
      <c r="P98" s="361">
        <v>-1194</v>
      </c>
      <c r="Q98" s="1">
        <v>335</v>
      </c>
      <c r="R98" s="1">
        <f t="shared" si="8"/>
        <v>-399990</v>
      </c>
      <c r="S98" s="361" t="s">
        <v>4316</v>
      </c>
      <c r="AA98" t="s">
        <v>25</v>
      </c>
      <c r="AB98" s="360"/>
      <c r="AC98" s="360"/>
      <c r="AJ98" s="11">
        <v>78</v>
      </c>
      <c r="AK98" s="3" t="s">
        <v>4370</v>
      </c>
      <c r="AL98" s="3">
        <v>6400000</v>
      </c>
      <c r="AM98" s="11">
        <v>1</v>
      </c>
      <c r="AN98" s="11">
        <f t="shared" si="16"/>
        <v>1196</v>
      </c>
      <c r="AO98" s="37">
        <f t="shared" si="17"/>
        <v>7654400000</v>
      </c>
      <c r="AP98" s="11"/>
    </row>
    <row r="99" spans="1:44">
      <c r="A99" s="358"/>
      <c r="B99" s="2" t="s">
        <v>6855</v>
      </c>
      <c r="C99" s="377">
        <v>384553</v>
      </c>
      <c r="D99" s="377">
        <v>34531289</v>
      </c>
      <c r="E99" s="320">
        <v>9053147</v>
      </c>
      <c r="F99" s="320">
        <v>30377615</v>
      </c>
      <c r="G99" s="2" t="s">
        <v>5416</v>
      </c>
      <c r="H99" s="3">
        <v>58508002.009000003</v>
      </c>
      <c r="M99" s="361" t="s">
        <v>4531</v>
      </c>
      <c r="N99" s="1">
        <v>9181756</v>
      </c>
      <c r="O99" s="361" t="s">
        <v>4805</v>
      </c>
      <c r="P99" s="361">
        <v>1194</v>
      </c>
      <c r="Q99" s="1">
        <v>335</v>
      </c>
      <c r="R99" s="1">
        <f t="shared" si="8"/>
        <v>399990</v>
      </c>
      <c r="S99" s="361" t="s">
        <v>690</v>
      </c>
      <c r="AA99" t="s">
        <v>25</v>
      </c>
      <c r="AB99" s="360"/>
      <c r="AC99" s="360"/>
      <c r="AJ99" s="11">
        <v>79</v>
      </c>
      <c r="AK99" s="3" t="s">
        <v>4368</v>
      </c>
      <c r="AL99" s="3">
        <v>5000</v>
      </c>
      <c r="AM99" s="11">
        <v>5</v>
      </c>
      <c r="AN99" s="11">
        <f t="shared" si="16"/>
        <v>1195</v>
      </c>
      <c r="AO99" s="37">
        <f t="shared" si="17"/>
        <v>5975000</v>
      </c>
      <c r="AP99" s="11"/>
      <c r="AR99" t="s">
        <v>25</v>
      </c>
    </row>
    <row r="100" spans="1:44">
      <c r="A100" s="358"/>
      <c r="B100" s="2" t="s">
        <v>6851</v>
      </c>
      <c r="C100" s="377">
        <v>366536</v>
      </c>
      <c r="D100" s="377">
        <v>33252790</v>
      </c>
      <c r="E100" s="320">
        <v>8745989</v>
      </c>
      <c r="F100" s="320">
        <v>28294041</v>
      </c>
      <c r="G100" s="2" t="s">
        <v>5418</v>
      </c>
      <c r="H100" s="3">
        <v>2245515.5410799999</v>
      </c>
      <c r="M100" s="361" t="s">
        <v>4533</v>
      </c>
      <c r="N100" s="1">
        <v>11811208</v>
      </c>
      <c r="O100" s="361" t="s">
        <v>4812</v>
      </c>
      <c r="P100" s="361">
        <v>433</v>
      </c>
      <c r="Q100" s="1">
        <v>345.68</v>
      </c>
      <c r="R100" s="1">
        <f t="shared" si="8"/>
        <v>149679.44</v>
      </c>
      <c r="S100" s="361" t="s">
        <v>690</v>
      </c>
      <c r="AB100" s="360"/>
      <c r="AC100" s="360"/>
      <c r="AJ100" s="11">
        <v>80</v>
      </c>
      <c r="AK100" s="3" t="s">
        <v>4392</v>
      </c>
      <c r="AL100" s="3">
        <v>-1750148</v>
      </c>
      <c r="AM100" s="11">
        <v>1</v>
      </c>
      <c r="AN100" s="11">
        <f t="shared" si="16"/>
        <v>1190</v>
      </c>
      <c r="AO100" s="37">
        <f t="shared" si="17"/>
        <v>-2082676120</v>
      </c>
      <c r="AP100" s="11"/>
    </row>
    <row r="101" spans="1:44">
      <c r="A101" s="358"/>
      <c r="B101" s="2" t="s">
        <v>6850</v>
      </c>
      <c r="C101" s="377">
        <v>396633</v>
      </c>
      <c r="D101" s="377">
        <v>32816664</v>
      </c>
      <c r="E101" s="320">
        <v>8802341</v>
      </c>
      <c r="F101" s="320">
        <v>28864919</v>
      </c>
      <c r="G101" s="2" t="s">
        <v>5420</v>
      </c>
      <c r="H101" s="3">
        <v>18404699.3442</v>
      </c>
      <c r="M101" s="361" t="s">
        <v>4545</v>
      </c>
      <c r="N101" s="1">
        <v>41248054</v>
      </c>
      <c r="O101" s="361" t="s">
        <v>4816</v>
      </c>
      <c r="P101" s="361">
        <v>55459</v>
      </c>
      <c r="Q101" s="1">
        <v>362.51978000000003</v>
      </c>
      <c r="R101" s="1">
        <f t="shared" si="8"/>
        <v>20104984.479020003</v>
      </c>
      <c r="S101" s="361" t="s">
        <v>422</v>
      </c>
      <c r="AB101" s="360"/>
      <c r="AC101" s="360"/>
      <c r="AJ101" s="11">
        <v>81</v>
      </c>
      <c r="AK101" s="3" t="s">
        <v>4395</v>
      </c>
      <c r="AL101" s="3">
        <v>400000</v>
      </c>
      <c r="AM101" s="11">
        <v>0</v>
      </c>
      <c r="AN101" s="11">
        <f t="shared" si="16"/>
        <v>1189</v>
      </c>
      <c r="AO101" s="37">
        <f t="shared" si="17"/>
        <v>475600000</v>
      </c>
      <c r="AP101" s="11"/>
    </row>
    <row r="102" spans="1:44">
      <c r="A102" s="358"/>
      <c r="B102" s="2" t="s">
        <v>6848</v>
      </c>
      <c r="C102" s="377">
        <v>386891</v>
      </c>
      <c r="D102" s="377">
        <v>32494148</v>
      </c>
      <c r="E102" s="320">
        <v>8599864</v>
      </c>
      <c r="F102" s="320">
        <v>28205148</v>
      </c>
      <c r="G102" s="2" t="s">
        <v>5423</v>
      </c>
      <c r="H102" s="3">
        <v>2264658.5922190002</v>
      </c>
      <c r="M102" s="361" t="s">
        <v>4552</v>
      </c>
      <c r="N102" s="1">
        <v>37328780</v>
      </c>
      <c r="O102" s="361" t="s">
        <v>4820</v>
      </c>
      <c r="P102" s="361">
        <v>-57212</v>
      </c>
      <c r="Q102" s="1">
        <v>368.45400000000001</v>
      </c>
      <c r="R102" s="1">
        <f t="shared" si="8"/>
        <v>-21079990.248</v>
      </c>
      <c r="S102" s="361" t="s">
        <v>422</v>
      </c>
      <c r="AB102" s="360"/>
      <c r="AC102" s="360"/>
      <c r="AJ102" s="11">
        <v>82</v>
      </c>
      <c r="AK102" s="3" t="s">
        <v>4395</v>
      </c>
      <c r="AL102" s="3">
        <v>-2105421</v>
      </c>
      <c r="AM102" s="11">
        <v>1</v>
      </c>
      <c r="AN102" s="11">
        <f t="shared" si="16"/>
        <v>1189</v>
      </c>
      <c r="AO102" s="37">
        <f t="shared" si="17"/>
        <v>-2503345569</v>
      </c>
      <c r="AP102" s="11"/>
      <c r="AQ102" t="s">
        <v>25</v>
      </c>
    </row>
    <row r="103" spans="1:44">
      <c r="A103" s="358"/>
      <c r="B103" s="2" t="s">
        <v>6846</v>
      </c>
      <c r="C103" s="377">
        <v>392690</v>
      </c>
      <c r="D103" s="377">
        <v>32460265</v>
      </c>
      <c r="E103" s="320">
        <v>8518673</v>
      </c>
      <c r="F103" s="320">
        <v>27903452</v>
      </c>
      <c r="G103" s="2" t="s">
        <v>5424</v>
      </c>
      <c r="H103" s="3">
        <v>22877413.789960001</v>
      </c>
      <c r="M103" s="361" t="s">
        <v>4627</v>
      </c>
      <c r="N103" s="1">
        <v>-2194100</v>
      </c>
      <c r="O103" s="361" t="s">
        <v>4821</v>
      </c>
      <c r="P103" s="361">
        <v>-15881</v>
      </c>
      <c r="Q103" s="1">
        <v>374.61599999999999</v>
      </c>
      <c r="R103" s="1">
        <f t="shared" si="8"/>
        <v>-5949276.6959999995</v>
      </c>
      <c r="S103" s="361" t="s">
        <v>422</v>
      </c>
      <c r="AB103" s="360"/>
      <c r="AC103" s="360"/>
      <c r="AJ103" s="11">
        <v>83</v>
      </c>
      <c r="AK103" s="3" t="s">
        <v>4398</v>
      </c>
      <c r="AL103" s="3">
        <v>-5527618</v>
      </c>
      <c r="AM103" s="11">
        <v>0</v>
      </c>
      <c r="AN103" s="11">
        <f t="shared" si="16"/>
        <v>1188</v>
      </c>
      <c r="AO103" s="37">
        <f t="shared" si="17"/>
        <v>-6566810184</v>
      </c>
      <c r="AP103" s="11"/>
    </row>
    <row r="104" spans="1:44">
      <c r="A104" s="358"/>
      <c r="B104" s="2" t="s">
        <v>6842</v>
      </c>
      <c r="C104" s="377">
        <v>391976</v>
      </c>
      <c r="D104" s="377">
        <v>32532410</v>
      </c>
      <c r="E104" s="320">
        <v>8485222</v>
      </c>
      <c r="F104" s="320">
        <v>28545312</v>
      </c>
      <c r="G104" s="2" t="s">
        <v>5425</v>
      </c>
      <c r="H104" s="3">
        <v>2362539.4373280001</v>
      </c>
      <c r="M104" s="361" t="s">
        <v>4662</v>
      </c>
      <c r="N104" s="1">
        <v>20193916</v>
      </c>
      <c r="O104" s="361" t="s">
        <v>4827</v>
      </c>
      <c r="P104" s="361">
        <v>-41289</v>
      </c>
      <c r="Q104" s="1">
        <v>372.27</v>
      </c>
      <c r="R104" s="1">
        <f t="shared" si="8"/>
        <v>-15370656.029999999</v>
      </c>
      <c r="S104" s="361" t="s">
        <v>422</v>
      </c>
      <c r="AB104" s="360"/>
      <c r="AC104" s="360"/>
      <c r="AJ104" s="11">
        <v>84</v>
      </c>
      <c r="AK104" s="3" t="s">
        <v>4398</v>
      </c>
      <c r="AL104" s="3">
        <v>3900000</v>
      </c>
      <c r="AM104" s="11">
        <v>3</v>
      </c>
      <c r="AN104" s="11">
        <f t="shared" si="16"/>
        <v>1188</v>
      </c>
      <c r="AO104" s="37">
        <f t="shared" si="17"/>
        <v>4633200000</v>
      </c>
      <c r="AP104" s="11"/>
    </row>
    <row r="105" spans="1:44">
      <c r="A105" s="358"/>
      <c r="B105" s="2" t="s">
        <v>6840</v>
      </c>
      <c r="C105" s="377">
        <v>390291</v>
      </c>
      <c r="D105" s="377">
        <v>32656971</v>
      </c>
      <c r="E105" s="320">
        <v>8377966</v>
      </c>
      <c r="F105" s="320">
        <v>28172387</v>
      </c>
      <c r="G105" s="2" t="s">
        <v>5426</v>
      </c>
      <c r="H105" s="3">
        <v>16042676.656608</v>
      </c>
      <c r="M105" s="361" t="s">
        <v>4726</v>
      </c>
      <c r="N105" s="1">
        <v>-2000000</v>
      </c>
      <c r="O105" s="361" t="s">
        <v>4833</v>
      </c>
      <c r="P105" s="361">
        <v>13563</v>
      </c>
      <c r="Q105" s="1">
        <v>365.69799999999998</v>
      </c>
      <c r="R105" s="1">
        <f t="shared" si="8"/>
        <v>4959961.9739999995</v>
      </c>
      <c r="S105" s="361" t="s">
        <v>422</v>
      </c>
      <c r="AB105" s="360"/>
      <c r="AC105" s="360"/>
      <c r="AJ105" s="11">
        <v>85</v>
      </c>
      <c r="AK105" s="3" t="s">
        <v>4399</v>
      </c>
      <c r="AL105" s="3">
        <v>-3969754</v>
      </c>
      <c r="AM105" s="11">
        <v>1</v>
      </c>
      <c r="AN105" s="11">
        <f t="shared" si="16"/>
        <v>1185</v>
      </c>
      <c r="AO105" s="37">
        <f t="shared" si="17"/>
        <v>-4704158490</v>
      </c>
      <c r="AP105" s="11"/>
    </row>
    <row r="106" spans="1:44">
      <c r="A106" s="358"/>
      <c r="B106" s="2" t="s">
        <v>6836</v>
      </c>
      <c r="C106" s="320">
        <v>387463</v>
      </c>
      <c r="D106" s="320">
        <v>32972110</v>
      </c>
      <c r="E106" s="320">
        <v>8449980</v>
      </c>
      <c r="F106" s="320">
        <v>29202137</v>
      </c>
      <c r="G106" s="2" t="s">
        <v>5427</v>
      </c>
      <c r="H106" s="3">
        <v>18403291.448284</v>
      </c>
      <c r="M106" s="361" t="s">
        <v>4786</v>
      </c>
      <c r="N106" s="1">
        <v>6800000</v>
      </c>
      <c r="O106" s="361" t="s">
        <v>4833</v>
      </c>
      <c r="P106" s="361">
        <v>27344</v>
      </c>
      <c r="Q106" s="1">
        <v>365.69799999999998</v>
      </c>
      <c r="R106" s="1">
        <f t="shared" si="8"/>
        <v>9999646.1119999997</v>
      </c>
      <c r="S106" s="361" t="s">
        <v>422</v>
      </c>
      <c r="AB106" s="360"/>
      <c r="AC106" s="360"/>
      <c r="AJ106" s="11">
        <v>86</v>
      </c>
      <c r="AK106" s="3" t="s">
        <v>4407</v>
      </c>
      <c r="AL106" s="3">
        <v>-25574455</v>
      </c>
      <c r="AM106" s="11">
        <v>0</v>
      </c>
      <c r="AN106" s="11">
        <f t="shared" si="16"/>
        <v>1184</v>
      </c>
      <c r="AO106" s="37">
        <f t="shared" si="17"/>
        <v>-30280154720</v>
      </c>
      <c r="AP106" s="11"/>
      <c r="AR106" t="s">
        <v>25</v>
      </c>
    </row>
    <row r="107" spans="1:44">
      <c r="A107" s="358"/>
      <c r="B107" s="2" t="s">
        <v>6835</v>
      </c>
      <c r="C107" s="320">
        <v>385714</v>
      </c>
      <c r="D107" s="320">
        <v>33047195</v>
      </c>
      <c r="E107" s="320">
        <v>8471480</v>
      </c>
      <c r="F107" s="320">
        <v>29308460</v>
      </c>
      <c r="G107" s="2" t="s">
        <v>5428</v>
      </c>
      <c r="H107" s="3">
        <v>10561447.246918</v>
      </c>
      <c r="M107" s="361" t="s">
        <v>4793</v>
      </c>
      <c r="N107" s="1">
        <v>850000</v>
      </c>
      <c r="O107" s="361" t="s">
        <v>4840</v>
      </c>
      <c r="P107" s="361">
        <v>-103145</v>
      </c>
      <c r="Q107" s="1">
        <v>393.334</v>
      </c>
      <c r="R107" s="1">
        <f t="shared" si="8"/>
        <v>-40570435.43</v>
      </c>
      <c r="S107" s="280" t="s">
        <v>4845</v>
      </c>
      <c r="AB107" s="360"/>
      <c r="AC107" s="360"/>
      <c r="AJ107" s="11">
        <v>87</v>
      </c>
      <c r="AK107" s="3" t="s">
        <v>4407</v>
      </c>
      <c r="AL107" s="3">
        <v>4000000</v>
      </c>
      <c r="AM107" s="11">
        <v>1</v>
      </c>
      <c r="AN107" s="11">
        <f t="shared" si="16"/>
        <v>1184</v>
      </c>
      <c r="AO107" s="37">
        <f t="shared" si="17"/>
        <v>4736000000</v>
      </c>
      <c r="AP107" s="11"/>
    </row>
    <row r="108" spans="1:44">
      <c r="A108" s="358"/>
      <c r="B108" s="2" t="s">
        <v>6834</v>
      </c>
      <c r="C108" s="320">
        <v>380489</v>
      </c>
      <c r="D108" s="320">
        <v>33139342</v>
      </c>
      <c r="E108" s="320">
        <v>8329618</v>
      </c>
      <c r="F108" s="320">
        <v>28696078</v>
      </c>
      <c r="G108" s="2" t="s">
        <v>5429</v>
      </c>
      <c r="H108" s="3">
        <v>1226811.9176660001</v>
      </c>
      <c r="M108" s="361" t="s">
        <v>4799</v>
      </c>
      <c r="N108" s="1">
        <v>2290500</v>
      </c>
      <c r="O108" s="361" t="s">
        <v>4840</v>
      </c>
      <c r="P108" s="361">
        <v>-369</v>
      </c>
      <c r="Q108" s="1">
        <v>393.334</v>
      </c>
      <c r="R108" s="1">
        <f t="shared" si="8"/>
        <v>-145140.24600000001</v>
      </c>
      <c r="S108" s="280" t="s">
        <v>4916</v>
      </c>
      <c r="AB108" s="360"/>
      <c r="AC108" s="360"/>
      <c r="AJ108" s="11">
        <v>88</v>
      </c>
      <c r="AK108" s="3" t="s">
        <v>914</v>
      </c>
      <c r="AL108" s="3">
        <v>-5000000</v>
      </c>
      <c r="AM108" s="11">
        <v>2</v>
      </c>
      <c r="AN108" s="11">
        <f t="shared" si="16"/>
        <v>1183</v>
      </c>
      <c r="AO108" s="37">
        <f t="shared" si="17"/>
        <v>-5915000000</v>
      </c>
      <c r="AP108" s="11"/>
    </row>
    <row r="109" spans="1:44">
      <c r="A109" s="358"/>
      <c r="B109" s="2" t="s">
        <v>6832</v>
      </c>
      <c r="C109" s="320">
        <v>385305</v>
      </c>
      <c r="D109" s="320">
        <v>33215966</v>
      </c>
      <c r="E109" s="320">
        <v>8274051</v>
      </c>
      <c r="F109" s="320">
        <v>29222586</v>
      </c>
      <c r="G109" s="2" t="s">
        <v>5430</v>
      </c>
      <c r="H109" s="3">
        <v>39373959.190266006</v>
      </c>
      <c r="M109" s="361" t="s">
        <v>4805</v>
      </c>
      <c r="N109" s="1">
        <v>400000</v>
      </c>
      <c r="O109" s="361" t="s">
        <v>4840</v>
      </c>
      <c r="P109" s="361">
        <v>-889</v>
      </c>
      <c r="Q109" s="1">
        <v>393.334</v>
      </c>
      <c r="R109" s="1">
        <f t="shared" si="8"/>
        <v>-349673.92599999998</v>
      </c>
      <c r="S109" s="280" t="s">
        <v>4917</v>
      </c>
      <c r="AB109" s="360"/>
      <c r="AC109" s="360"/>
      <c r="AJ109" s="11">
        <v>89</v>
      </c>
      <c r="AK109" s="3" t="s">
        <v>4410</v>
      </c>
      <c r="AL109" s="3">
        <v>10000000</v>
      </c>
      <c r="AM109" s="11">
        <v>4</v>
      </c>
      <c r="AN109" s="11">
        <f t="shared" si="16"/>
        <v>1181</v>
      </c>
      <c r="AO109" s="37">
        <f t="shared" si="17"/>
        <v>11810000000</v>
      </c>
      <c r="AP109" s="11"/>
    </row>
    <row r="110" spans="1:44">
      <c r="A110" s="358"/>
      <c r="B110" s="2" t="s">
        <v>6825</v>
      </c>
      <c r="C110" s="320">
        <v>380307</v>
      </c>
      <c r="D110" s="320">
        <v>33594896.6407924</v>
      </c>
      <c r="E110" s="320">
        <v>8162767.862573673</v>
      </c>
      <c r="F110" s="320">
        <v>29624590.674153294</v>
      </c>
      <c r="G110" s="2" t="s">
        <v>5432</v>
      </c>
      <c r="H110" s="3">
        <v>27703487.063980002</v>
      </c>
      <c r="M110" s="361" t="s">
        <v>4812</v>
      </c>
      <c r="N110" s="1">
        <v>150000</v>
      </c>
      <c r="O110" s="361" t="s">
        <v>4849</v>
      </c>
      <c r="P110" s="361">
        <v>2546</v>
      </c>
      <c r="Q110" s="1">
        <v>393</v>
      </c>
      <c r="R110" s="1">
        <f t="shared" si="8"/>
        <v>1000578</v>
      </c>
      <c r="S110" s="280" t="s">
        <v>422</v>
      </c>
      <c r="AB110" s="360"/>
      <c r="AC110" s="360"/>
      <c r="AE110" t="s">
        <v>25</v>
      </c>
      <c r="AJ110" s="11">
        <v>90</v>
      </c>
      <c r="AK110" s="3" t="s">
        <v>4412</v>
      </c>
      <c r="AL110" s="3">
        <v>-5241937</v>
      </c>
      <c r="AM110" s="11">
        <v>0</v>
      </c>
      <c r="AN110" s="11">
        <f t="shared" si="16"/>
        <v>1177</v>
      </c>
      <c r="AO110" s="37">
        <f t="shared" si="17"/>
        <v>-6169759849</v>
      </c>
      <c r="AP110" s="11"/>
    </row>
    <row r="111" spans="1:44">
      <c r="A111" s="358"/>
      <c r="B111" s="2" t="s">
        <v>6824</v>
      </c>
      <c r="C111" s="11"/>
      <c r="D111" s="320">
        <v>33635996</v>
      </c>
      <c r="E111" s="320">
        <v>8186907</v>
      </c>
      <c r="F111" s="320">
        <v>29604715</v>
      </c>
      <c r="G111" s="2" t="s">
        <v>5433</v>
      </c>
      <c r="H111" s="3">
        <v>8738896.6890719999</v>
      </c>
      <c r="M111" s="361" t="s">
        <v>4840</v>
      </c>
      <c r="N111" s="1">
        <v>-144950</v>
      </c>
      <c r="O111" s="361" t="s">
        <v>4850</v>
      </c>
      <c r="P111" s="361">
        <v>1034</v>
      </c>
      <c r="Q111" s="1">
        <v>386.608</v>
      </c>
      <c r="R111" s="1">
        <f t="shared" si="8"/>
        <v>399752.67200000002</v>
      </c>
      <c r="S111" s="280" t="s">
        <v>422</v>
      </c>
      <c r="AB111" s="360"/>
      <c r="AC111" s="360"/>
      <c r="AJ111" s="11">
        <v>91</v>
      </c>
      <c r="AK111" s="3" t="s">
        <v>4412</v>
      </c>
      <c r="AL111" s="3">
        <v>21900000</v>
      </c>
      <c r="AM111" s="11">
        <v>2</v>
      </c>
      <c r="AN111" s="11">
        <f t="shared" si="16"/>
        <v>1177</v>
      </c>
      <c r="AO111" s="37">
        <f t="shared" si="17"/>
        <v>25776300000</v>
      </c>
      <c r="AP111" s="11"/>
      <c r="AR111" t="s">
        <v>25</v>
      </c>
    </row>
    <row r="112" spans="1:44">
      <c r="A112" s="358"/>
      <c r="B112" s="326" t="s">
        <v>6823</v>
      </c>
      <c r="C112" s="326"/>
      <c r="D112" s="320">
        <v>33865204</v>
      </c>
      <c r="E112" s="320">
        <v>8182613</v>
      </c>
      <c r="F112" s="320">
        <v>29488286</v>
      </c>
      <c r="G112" s="2" t="s">
        <v>4100</v>
      </c>
      <c r="H112" s="3">
        <v>348201.66738</v>
      </c>
      <c r="M112" s="361" t="s">
        <v>4865</v>
      </c>
      <c r="N112" s="1">
        <v>320000</v>
      </c>
      <c r="O112" s="361" t="s">
        <v>4857</v>
      </c>
      <c r="P112" s="361">
        <v>300</v>
      </c>
      <c r="Q112" s="1">
        <v>400</v>
      </c>
      <c r="R112" s="1">
        <f t="shared" si="8"/>
        <v>120000</v>
      </c>
      <c r="S112" s="280" t="s">
        <v>422</v>
      </c>
      <c r="AB112" s="360"/>
      <c r="AC112" s="360"/>
      <c r="AJ112" s="11">
        <v>92</v>
      </c>
      <c r="AK112" s="3" t="s">
        <v>4419</v>
      </c>
      <c r="AL112" s="3">
        <v>-15000000</v>
      </c>
      <c r="AM112" s="11">
        <v>0</v>
      </c>
      <c r="AN112" s="11">
        <f t="shared" si="16"/>
        <v>1175</v>
      </c>
      <c r="AO112" s="37">
        <f t="shared" si="17"/>
        <v>-17625000000</v>
      </c>
      <c r="AP112" s="11"/>
      <c r="AQ112" t="s">
        <v>25</v>
      </c>
    </row>
    <row r="113" spans="1:45">
      <c r="A113" s="358"/>
      <c r="B113" s="2" t="s">
        <v>6822</v>
      </c>
      <c r="C113" s="2"/>
      <c r="D113" s="320">
        <v>33863109</v>
      </c>
      <c r="E113" s="320">
        <v>8419617</v>
      </c>
      <c r="F113" s="320">
        <v>28916812</v>
      </c>
      <c r="G113" s="2" t="s">
        <v>5434</v>
      </c>
      <c r="H113" s="3">
        <v>4158090.8935679998</v>
      </c>
      <c r="M113" s="361" t="s">
        <v>4869</v>
      </c>
      <c r="N113" s="1">
        <v>500000</v>
      </c>
      <c r="O113" s="361" t="s">
        <v>4865</v>
      </c>
      <c r="P113" s="361">
        <v>782</v>
      </c>
      <c r="Q113" s="1">
        <v>409</v>
      </c>
      <c r="R113" s="1">
        <f t="shared" si="8"/>
        <v>319838</v>
      </c>
      <c r="S113" s="280" t="s">
        <v>690</v>
      </c>
      <c r="AB113" s="360"/>
      <c r="AC113" s="360"/>
      <c r="AJ113" s="11">
        <v>93</v>
      </c>
      <c r="AK113" s="3" t="s">
        <v>4419</v>
      </c>
      <c r="AL113" s="3">
        <v>3000000</v>
      </c>
      <c r="AM113" s="11">
        <v>1</v>
      </c>
      <c r="AN113" s="11">
        <f t="shared" si="16"/>
        <v>1175</v>
      </c>
      <c r="AO113" s="37">
        <f t="shared" si="17"/>
        <v>3525000000</v>
      </c>
      <c r="AP113" s="11"/>
    </row>
    <row r="114" spans="1:45">
      <c r="A114" s="358"/>
      <c r="B114" s="2" t="s">
        <v>6820</v>
      </c>
      <c r="C114" s="2"/>
      <c r="D114" s="320">
        <v>33695882</v>
      </c>
      <c r="E114" s="320">
        <v>8357340</v>
      </c>
      <c r="F114" s="320">
        <v>29176513</v>
      </c>
      <c r="G114" s="2" t="s">
        <v>5438</v>
      </c>
      <c r="H114" s="3">
        <v>110770524.97879399</v>
      </c>
      <c r="M114" s="361" t="s">
        <v>4912</v>
      </c>
      <c r="N114" s="1">
        <v>400000</v>
      </c>
      <c r="O114" s="361" t="s">
        <v>4869</v>
      </c>
      <c r="P114" s="361">
        <v>1220</v>
      </c>
      <c r="Q114" s="1">
        <v>409.9</v>
      </c>
      <c r="R114" s="1">
        <f t="shared" si="8"/>
        <v>500078</v>
      </c>
      <c r="S114" s="280" t="s">
        <v>690</v>
      </c>
      <c r="AB114" s="360"/>
      <c r="AC114" s="360"/>
      <c r="AJ114" s="11">
        <v>94</v>
      </c>
      <c r="AK114" s="3" t="s">
        <v>4422</v>
      </c>
      <c r="AL114" s="3">
        <v>-2103736</v>
      </c>
      <c r="AM114" s="11">
        <v>0</v>
      </c>
      <c r="AN114" s="11">
        <f t="shared" si="16"/>
        <v>1174</v>
      </c>
      <c r="AO114" s="37">
        <f t="shared" si="17"/>
        <v>-2469786064</v>
      </c>
      <c r="AP114" s="11"/>
    </row>
    <row r="115" spans="1:45">
      <c r="A115" s="358"/>
      <c r="B115" s="2" t="s">
        <v>6818</v>
      </c>
      <c r="C115" s="2"/>
      <c r="D115" s="320">
        <v>33543525</v>
      </c>
      <c r="E115" s="320">
        <v>8338071</v>
      </c>
      <c r="F115" s="320">
        <v>29308571</v>
      </c>
      <c r="G115" s="2" t="s">
        <v>5449</v>
      </c>
      <c r="H115" s="3">
        <v>6684147.0064600008</v>
      </c>
      <c r="M115" s="361" t="s">
        <v>4915</v>
      </c>
      <c r="N115" s="1">
        <v>50000</v>
      </c>
      <c r="O115" s="361" t="s">
        <v>4870</v>
      </c>
      <c r="P115" s="361">
        <v>1285</v>
      </c>
      <c r="Q115" s="1">
        <v>388.84</v>
      </c>
      <c r="R115" s="1">
        <f t="shared" si="8"/>
        <v>499659.39999999997</v>
      </c>
      <c r="S115" s="280" t="s">
        <v>422</v>
      </c>
      <c r="AB115" s="360"/>
      <c r="AC115" s="360"/>
      <c r="AJ115" s="11">
        <v>95</v>
      </c>
      <c r="AK115" s="3" t="s">
        <v>4422</v>
      </c>
      <c r="AL115" s="3">
        <v>220000</v>
      </c>
      <c r="AM115" s="11">
        <v>3</v>
      </c>
      <c r="AN115" s="11">
        <f t="shared" si="16"/>
        <v>1174</v>
      </c>
      <c r="AO115" s="37">
        <f t="shared" si="17"/>
        <v>258280000</v>
      </c>
      <c r="AP115" s="11"/>
    </row>
    <row r="116" spans="1:45">
      <c r="A116" s="358"/>
      <c r="B116" s="2" t="s">
        <v>6817</v>
      </c>
      <c r="C116" s="2"/>
      <c r="D116" s="320">
        <v>33027671</v>
      </c>
      <c r="E116" s="320">
        <v>8145086</v>
      </c>
      <c r="F116" s="327">
        <v>30068942</v>
      </c>
      <c r="G116" s="2" t="s">
        <v>5452</v>
      </c>
      <c r="H116" s="3">
        <v>1826535.2307560001</v>
      </c>
      <c r="M116" s="361" t="s">
        <v>4925</v>
      </c>
      <c r="N116" s="1">
        <v>300000</v>
      </c>
      <c r="O116" s="361" t="s">
        <v>4862</v>
      </c>
      <c r="P116" s="361">
        <v>1924</v>
      </c>
      <c r="Q116" s="1">
        <v>386.69600000000003</v>
      </c>
      <c r="R116" s="1">
        <f t="shared" si="8"/>
        <v>744003.10400000005</v>
      </c>
      <c r="S116" s="280" t="s">
        <v>422</v>
      </c>
      <c r="AB116" s="360"/>
      <c r="AC116" s="360"/>
      <c r="AJ116" s="11">
        <v>96</v>
      </c>
      <c r="AK116" s="3" t="s">
        <v>4431</v>
      </c>
      <c r="AL116" s="3">
        <v>4000000</v>
      </c>
      <c r="AM116" s="11">
        <v>1</v>
      </c>
      <c r="AN116" s="11">
        <f t="shared" si="16"/>
        <v>1171</v>
      </c>
      <c r="AO116" s="37">
        <f t="shared" si="17"/>
        <v>4684000000</v>
      </c>
      <c r="AP116" s="11"/>
    </row>
    <row r="117" spans="1:45">
      <c r="A117" s="358"/>
      <c r="B117" s="2" t="s">
        <v>6815</v>
      </c>
      <c r="C117" s="2"/>
      <c r="D117" s="320">
        <v>33329845</v>
      </c>
      <c r="E117" s="320">
        <v>8188700</v>
      </c>
      <c r="F117" s="320">
        <v>29804772</v>
      </c>
      <c r="G117" s="2" t="s">
        <v>5454</v>
      </c>
      <c r="H117" s="3">
        <v>3577366.94</v>
      </c>
      <c r="M117" s="361" t="s">
        <v>4946</v>
      </c>
      <c r="N117" s="1">
        <v>250000</v>
      </c>
      <c r="O117" s="361" t="s">
        <v>4886</v>
      </c>
      <c r="P117" s="361">
        <v>165</v>
      </c>
      <c r="Q117" s="1">
        <v>393.5</v>
      </c>
      <c r="R117" s="1">
        <f t="shared" si="8"/>
        <v>64927.5</v>
      </c>
      <c r="S117" s="280" t="s">
        <v>422</v>
      </c>
      <c r="AB117" s="360"/>
      <c r="AC117" s="360"/>
      <c r="AJ117" s="11">
        <v>97</v>
      </c>
      <c r="AK117" s="3" t="s">
        <v>4435</v>
      </c>
      <c r="AL117" s="3">
        <v>-9000000</v>
      </c>
      <c r="AM117" s="11">
        <v>0</v>
      </c>
      <c r="AN117" s="11">
        <f t="shared" si="16"/>
        <v>1170</v>
      </c>
      <c r="AO117" s="37">
        <f t="shared" si="17"/>
        <v>-10530000000</v>
      </c>
      <c r="AP117" s="11"/>
      <c r="AR117" t="s">
        <v>25</v>
      </c>
    </row>
    <row r="118" spans="1:45">
      <c r="A118" s="358"/>
      <c r="B118" s="2" t="s">
        <v>6807</v>
      </c>
      <c r="C118" s="2"/>
      <c r="D118" s="320">
        <v>32675546</v>
      </c>
      <c r="E118" s="320">
        <v>8310289</v>
      </c>
      <c r="F118" s="320">
        <v>29605406</v>
      </c>
      <c r="G118" s="2" t="s">
        <v>5455</v>
      </c>
      <c r="H118" s="3">
        <v>21239029.173567999</v>
      </c>
      <c r="M118" s="361" t="s">
        <v>4979</v>
      </c>
      <c r="N118" s="1">
        <v>200000</v>
      </c>
      <c r="O118" s="361" t="s">
        <v>4891</v>
      </c>
      <c r="P118" s="361">
        <v>-34859</v>
      </c>
      <c r="Q118" s="1">
        <v>403.1585</v>
      </c>
      <c r="R118" s="1">
        <f t="shared" si="8"/>
        <v>-14053702.1515</v>
      </c>
      <c r="S118" s="280" t="s">
        <v>4894</v>
      </c>
      <c r="AB118" s="360"/>
      <c r="AC118" s="360"/>
      <c r="AJ118" s="11">
        <v>98</v>
      </c>
      <c r="AK118" s="3" t="s">
        <v>4435</v>
      </c>
      <c r="AL118" s="3">
        <v>13900000</v>
      </c>
      <c r="AM118" s="11">
        <v>2</v>
      </c>
      <c r="AN118" s="11">
        <f t="shared" si="16"/>
        <v>1170</v>
      </c>
      <c r="AO118" s="37">
        <f t="shared" si="17"/>
        <v>16263000000</v>
      </c>
      <c r="AP118" s="11"/>
    </row>
    <row r="119" spans="1:45">
      <c r="A119" s="358"/>
      <c r="B119" s="28" t="s">
        <v>6806</v>
      </c>
      <c r="C119" s="28"/>
      <c r="D119" s="320">
        <v>32872808</v>
      </c>
      <c r="E119" s="320">
        <v>8179528</v>
      </c>
      <c r="F119" s="320">
        <v>30000426</v>
      </c>
      <c r="G119" s="2" t="s">
        <v>5457</v>
      </c>
      <c r="H119" s="3">
        <v>242957252.40163299</v>
      </c>
      <c r="M119" s="361" t="s">
        <v>5011</v>
      </c>
      <c r="N119" s="1">
        <v>122000</v>
      </c>
      <c r="O119" s="361" t="s">
        <v>4863</v>
      </c>
      <c r="P119" s="361">
        <v>8476</v>
      </c>
      <c r="Q119" s="1">
        <v>419.49900000000002</v>
      </c>
      <c r="R119" s="1">
        <f t="shared" si="8"/>
        <v>3555673.5240000002</v>
      </c>
      <c r="S119" s="280" t="s">
        <v>4900</v>
      </c>
      <c r="AB119" s="360"/>
      <c r="AC119" s="360"/>
      <c r="AJ119" s="11">
        <v>99</v>
      </c>
      <c r="AK119" s="3" t="s">
        <v>4439</v>
      </c>
      <c r="AL119" s="3">
        <v>-8127577</v>
      </c>
      <c r="AM119" s="11">
        <v>1</v>
      </c>
      <c r="AN119" s="11">
        <f t="shared" si="16"/>
        <v>1168</v>
      </c>
      <c r="AO119" s="37">
        <f t="shared" si="17"/>
        <v>-9493009936</v>
      </c>
      <c r="AP119" s="11"/>
      <c r="AQ119" t="s">
        <v>25</v>
      </c>
      <c r="AS119" t="s">
        <v>25</v>
      </c>
    </row>
    <row r="120" spans="1:45">
      <c r="A120" s="358"/>
      <c r="B120" s="28" t="s">
        <v>6804</v>
      </c>
      <c r="C120" s="28"/>
      <c r="D120" s="2"/>
      <c r="E120" s="320">
        <v>8292963</v>
      </c>
      <c r="F120" s="320">
        <v>29724216</v>
      </c>
      <c r="G120" s="2" t="s">
        <v>5460</v>
      </c>
      <c r="H120" s="3">
        <v>7357181.2750800001</v>
      </c>
      <c r="M120" s="361" t="s">
        <v>5019</v>
      </c>
      <c r="N120" s="1">
        <v>200000</v>
      </c>
      <c r="O120" s="361" t="s">
        <v>4912</v>
      </c>
      <c r="P120" s="361">
        <v>903</v>
      </c>
      <c r="Q120" s="1">
        <v>442.77379999999999</v>
      </c>
      <c r="R120" s="1">
        <f t="shared" si="8"/>
        <v>399824.7414</v>
      </c>
      <c r="S120" s="280" t="s">
        <v>690</v>
      </c>
      <c r="AB120" s="360"/>
      <c r="AC120" s="360"/>
      <c r="AJ120" s="11">
        <v>100</v>
      </c>
      <c r="AK120" s="3" t="s">
        <v>3606</v>
      </c>
      <c r="AL120" s="3">
        <v>15792549</v>
      </c>
      <c r="AM120" s="11">
        <v>3</v>
      </c>
      <c r="AN120" s="11">
        <f t="shared" si="16"/>
        <v>1167</v>
      </c>
      <c r="AO120" s="37">
        <f t="shared" si="17"/>
        <v>18429904683</v>
      </c>
      <c r="AP120" s="11"/>
      <c r="AQ120" t="s">
        <v>25</v>
      </c>
      <c r="AR120" t="s">
        <v>25</v>
      </c>
    </row>
    <row r="121" spans="1:45">
      <c r="A121" s="358"/>
      <c r="B121" s="28" t="s">
        <v>6802</v>
      </c>
      <c r="C121" s="28"/>
      <c r="D121" s="11"/>
      <c r="E121" s="320">
        <v>8298953</v>
      </c>
      <c r="F121" s="320">
        <v>29631163</v>
      </c>
      <c r="G121" s="2" t="s">
        <v>5462</v>
      </c>
      <c r="H121" s="3">
        <v>14951411.942400001</v>
      </c>
      <c r="I121" s="480"/>
      <c r="M121" s="361" t="s">
        <v>5029</v>
      </c>
      <c r="N121" s="1">
        <v>60000</v>
      </c>
      <c r="O121" s="361" t="s">
        <v>4915</v>
      </c>
      <c r="P121" s="361">
        <v>113</v>
      </c>
      <c r="Q121" s="1">
        <v>442.48200000000003</v>
      </c>
      <c r="R121" s="1">
        <f t="shared" ref="R121:R202" si="18">P121*Q121</f>
        <v>50000.466</v>
      </c>
      <c r="S121" s="280" t="s">
        <v>690</v>
      </c>
      <c r="AB121" s="360"/>
      <c r="AC121" s="360"/>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358"/>
      <c r="B122" s="28" t="s">
        <v>6800</v>
      </c>
      <c r="C122" s="28"/>
      <c r="D122" s="11"/>
      <c r="E122" s="320">
        <v>8235577</v>
      </c>
      <c r="F122" s="320">
        <v>29962922</v>
      </c>
      <c r="G122" s="2" t="s">
        <v>5464</v>
      </c>
      <c r="H122" s="3">
        <v>47928209.377011999</v>
      </c>
      <c r="I122" s="480"/>
      <c r="M122" s="361" t="s">
        <v>5088</v>
      </c>
      <c r="N122" s="1">
        <v>-200000</v>
      </c>
      <c r="O122" s="361" t="s">
        <v>4925</v>
      </c>
      <c r="P122" s="361">
        <v>671</v>
      </c>
      <c r="Q122" s="1">
        <v>447</v>
      </c>
      <c r="R122" s="1">
        <f t="shared" si="18"/>
        <v>299937</v>
      </c>
      <c r="S122" s="280" t="s">
        <v>690</v>
      </c>
      <c r="AB122" s="360"/>
      <c r="AC122" s="360"/>
      <c r="AJ122" s="53">
        <v>102</v>
      </c>
      <c r="AK122" s="54" t="s">
        <v>4442</v>
      </c>
      <c r="AL122" s="54">
        <v>13071612</v>
      </c>
      <c r="AM122" s="53">
        <v>1</v>
      </c>
      <c r="AN122" s="53">
        <f t="shared" si="19"/>
        <v>1164</v>
      </c>
      <c r="AO122" s="54">
        <f t="shared" si="20"/>
        <v>15215356368</v>
      </c>
      <c r="AP122" s="141" t="s">
        <v>4443</v>
      </c>
    </row>
    <row r="123" spans="1:45">
      <c r="A123" s="358"/>
      <c r="B123" s="28" t="s">
        <v>6799</v>
      </c>
      <c r="C123" s="28"/>
      <c r="D123" s="11"/>
      <c r="E123" s="320">
        <v>8314333</v>
      </c>
      <c r="F123" s="320">
        <v>29627913</v>
      </c>
      <c r="G123" s="2" t="s">
        <v>5465</v>
      </c>
      <c r="H123" s="3">
        <v>2281595.69937</v>
      </c>
      <c r="I123" s="480"/>
      <c r="M123" s="361" t="s">
        <v>5150</v>
      </c>
      <c r="N123" s="1">
        <v>-9000000</v>
      </c>
      <c r="O123" s="361" t="s">
        <v>4927</v>
      </c>
      <c r="P123" s="361">
        <v>7</v>
      </c>
      <c r="Q123" s="1">
        <v>465.31200000000001</v>
      </c>
      <c r="R123" s="1">
        <f t="shared" si="18"/>
        <v>3257.1840000000002</v>
      </c>
      <c r="S123" s="280" t="s">
        <v>422</v>
      </c>
      <c r="AB123" s="360"/>
      <c r="AC123" s="360"/>
      <c r="AJ123" s="63">
        <v>103</v>
      </c>
      <c r="AK123" s="64" t="s">
        <v>4446</v>
      </c>
      <c r="AL123" s="64">
        <v>16727037</v>
      </c>
      <c r="AM123" s="63">
        <v>0</v>
      </c>
      <c r="AN123" s="63">
        <f t="shared" si="19"/>
        <v>1163</v>
      </c>
      <c r="AO123" s="64">
        <f t="shared" si="20"/>
        <v>19453544031</v>
      </c>
      <c r="AP123" s="63" t="s">
        <v>4453</v>
      </c>
    </row>
    <row r="124" spans="1:45">
      <c r="A124" s="358"/>
      <c r="B124" s="28" t="s">
        <v>6797</v>
      </c>
      <c r="C124" s="28"/>
      <c r="D124" s="11"/>
      <c r="E124" s="320">
        <v>8403580</v>
      </c>
      <c r="F124" s="320">
        <v>29345833</v>
      </c>
      <c r="G124" s="2" t="s">
        <v>5466</v>
      </c>
      <c r="H124" s="3">
        <v>2964916.035069</v>
      </c>
      <c r="I124" s="480"/>
      <c r="M124" s="361" t="s">
        <v>5207</v>
      </c>
      <c r="N124" s="1">
        <v>-26000000</v>
      </c>
      <c r="O124" s="361" t="s">
        <v>4931</v>
      </c>
      <c r="P124" s="361">
        <v>12950</v>
      </c>
      <c r="Q124" s="1">
        <v>463.31599999999997</v>
      </c>
      <c r="R124" s="1">
        <f t="shared" si="18"/>
        <v>5999942.1999999993</v>
      </c>
      <c r="S124" s="280" t="s">
        <v>422</v>
      </c>
      <c r="AB124" s="360"/>
      <c r="AC124" s="360"/>
      <c r="AJ124" s="11">
        <v>104</v>
      </c>
      <c r="AK124" s="3" t="s">
        <v>4446</v>
      </c>
      <c r="AL124" s="3">
        <v>12000000</v>
      </c>
      <c r="AM124" s="11">
        <v>1</v>
      </c>
      <c r="AN124" s="11">
        <f t="shared" si="19"/>
        <v>1163</v>
      </c>
      <c r="AO124" s="37">
        <f t="shared" si="20"/>
        <v>13956000000</v>
      </c>
      <c r="AP124" s="11" t="s">
        <v>4454</v>
      </c>
    </row>
    <row r="125" spans="1:45">
      <c r="A125" s="358"/>
      <c r="B125" s="28" t="s">
        <v>6796</v>
      </c>
      <c r="C125" s="28"/>
      <c r="D125" s="11"/>
      <c r="E125" s="320">
        <v>8322637</v>
      </c>
      <c r="F125" s="320">
        <v>29697683</v>
      </c>
      <c r="G125" s="2" t="s">
        <v>5467</v>
      </c>
      <c r="H125" s="3">
        <v>6460549.4269619994</v>
      </c>
      <c r="I125" s="480"/>
      <c r="M125" s="361" t="s">
        <v>5211</v>
      </c>
      <c r="N125" s="1">
        <v>-95900000</v>
      </c>
      <c r="O125" s="361" t="s">
        <v>4933</v>
      </c>
      <c r="P125" s="361">
        <v>37</v>
      </c>
      <c r="Q125" s="1">
        <v>463.315</v>
      </c>
      <c r="R125" s="1">
        <f t="shared" si="18"/>
        <v>17142.654999999999</v>
      </c>
      <c r="S125" s="280" t="s">
        <v>422</v>
      </c>
      <c r="AB125" s="360"/>
      <c r="AC125" s="360"/>
      <c r="AJ125" s="63">
        <v>105</v>
      </c>
      <c r="AK125" s="64" t="s">
        <v>4388</v>
      </c>
      <c r="AL125" s="64">
        <v>88697667</v>
      </c>
      <c r="AM125" s="63">
        <v>1</v>
      </c>
      <c r="AN125" s="63">
        <f t="shared" si="19"/>
        <v>1162</v>
      </c>
      <c r="AO125" s="64">
        <f t="shared" si="20"/>
        <v>103066689054</v>
      </c>
      <c r="AP125" s="63" t="s">
        <v>4455</v>
      </c>
      <c r="AR125" t="s">
        <v>25</v>
      </c>
    </row>
    <row r="126" spans="1:45">
      <c r="A126" s="358"/>
      <c r="B126" s="28" t="s">
        <v>6795</v>
      </c>
      <c r="C126" s="28"/>
      <c r="D126" s="11"/>
      <c r="E126" s="320">
        <v>8421820</v>
      </c>
      <c r="F126" s="320">
        <v>29013455</v>
      </c>
      <c r="G126" s="2" t="s">
        <v>5468</v>
      </c>
      <c r="H126" s="3">
        <v>5212319.8968359996</v>
      </c>
      <c r="I126" s="480"/>
      <c r="M126" s="361" t="s">
        <v>5212</v>
      </c>
      <c r="N126" s="1">
        <v>-28950000</v>
      </c>
      <c r="O126" s="361" t="s">
        <v>4934</v>
      </c>
      <c r="P126" s="361">
        <v>19</v>
      </c>
      <c r="Q126" s="1">
        <v>434.3</v>
      </c>
      <c r="R126" s="1">
        <f t="shared" si="18"/>
        <v>8251.7000000000007</v>
      </c>
      <c r="S126" s="280" t="s">
        <v>422</v>
      </c>
      <c r="AB126" s="360"/>
      <c r="AC126" s="360"/>
      <c r="AD126" t="s">
        <v>25</v>
      </c>
      <c r="AJ126" s="11">
        <v>106</v>
      </c>
      <c r="AK126" s="3" t="s">
        <v>4391</v>
      </c>
      <c r="AL126" s="3">
        <v>101000</v>
      </c>
      <c r="AM126" s="11">
        <v>0</v>
      </c>
      <c r="AN126" s="11">
        <f t="shared" si="19"/>
        <v>1161</v>
      </c>
      <c r="AO126" s="37">
        <f t="shared" si="20"/>
        <v>117261000</v>
      </c>
      <c r="AP126" s="11"/>
      <c r="AS126" t="s">
        <v>25</v>
      </c>
    </row>
    <row r="127" spans="1:45">
      <c r="A127" s="358"/>
      <c r="B127" s="28" t="s">
        <v>6794</v>
      </c>
      <c r="C127" s="28"/>
      <c r="D127" s="11"/>
      <c r="E127" s="320">
        <v>8492243</v>
      </c>
      <c r="F127" s="320">
        <v>28413102</v>
      </c>
      <c r="G127" s="2" t="s">
        <v>5470</v>
      </c>
      <c r="H127" s="3">
        <v>4524496.4792809999</v>
      </c>
      <c r="M127" s="361" t="s">
        <v>5334</v>
      </c>
      <c r="N127" s="1">
        <v>-93000000</v>
      </c>
      <c r="O127" s="361" t="s">
        <v>4936</v>
      </c>
      <c r="P127" s="361">
        <v>16</v>
      </c>
      <c r="Q127" s="1">
        <v>439</v>
      </c>
      <c r="R127" s="1">
        <f t="shared" si="18"/>
        <v>7024</v>
      </c>
      <c r="S127" s="280" t="s">
        <v>422</v>
      </c>
      <c r="AA127" t="s">
        <v>25</v>
      </c>
      <c r="AB127" s="360"/>
      <c r="AC127" s="360"/>
      <c r="AE127" t="s">
        <v>25</v>
      </c>
      <c r="AJ127" s="97">
        <v>107</v>
      </c>
      <c r="AK127" s="131" t="s">
        <v>4452</v>
      </c>
      <c r="AL127" s="131">
        <v>-48200</v>
      </c>
      <c r="AM127" s="97">
        <v>0</v>
      </c>
      <c r="AN127" s="97">
        <f t="shared" ref="AN127:AN177" si="21">AN128+AM127</f>
        <v>1161</v>
      </c>
      <c r="AO127" s="131">
        <f t="shared" si="20"/>
        <v>-55960200</v>
      </c>
      <c r="AP127" s="97" t="s">
        <v>4458</v>
      </c>
    </row>
    <row r="128" spans="1:45" ht="30">
      <c r="A128" s="358"/>
      <c r="B128" s="28" t="s">
        <v>6787</v>
      </c>
      <c r="C128" s="28"/>
      <c r="D128" s="11"/>
      <c r="E128" s="320">
        <v>8503989</v>
      </c>
      <c r="F128" s="320">
        <v>28837784</v>
      </c>
      <c r="G128" s="2" t="s">
        <v>5471</v>
      </c>
      <c r="H128" s="3">
        <v>22866040.240959998</v>
      </c>
      <c r="M128" s="361" t="s">
        <v>5343</v>
      </c>
      <c r="N128" s="1">
        <v>50000000</v>
      </c>
      <c r="O128" s="361" t="s">
        <v>4936</v>
      </c>
      <c r="P128" s="361">
        <v>9191</v>
      </c>
      <c r="Q128" s="1">
        <v>440.24630000000002</v>
      </c>
      <c r="R128" s="1">
        <f t="shared" si="18"/>
        <v>4046303.7433000002</v>
      </c>
      <c r="S128" s="280" t="s">
        <v>4937</v>
      </c>
      <c r="AA128" t="s">
        <v>25</v>
      </c>
      <c r="AB128" s="360"/>
      <c r="AC128" s="360"/>
      <c r="AD128" t="s">
        <v>25</v>
      </c>
      <c r="AJ128" s="63">
        <v>108</v>
      </c>
      <c r="AK128" s="64" t="s">
        <v>4452</v>
      </c>
      <c r="AL128" s="64">
        <v>39327293</v>
      </c>
      <c r="AM128" s="63">
        <v>4</v>
      </c>
      <c r="AN128" s="97">
        <f t="shared" si="21"/>
        <v>1161</v>
      </c>
      <c r="AO128" s="131">
        <f t="shared" si="20"/>
        <v>45658987173</v>
      </c>
      <c r="AP128" s="63" t="s">
        <v>4459</v>
      </c>
    </row>
    <row r="129" spans="1:45">
      <c r="A129" s="358"/>
      <c r="B129" s="28" t="s">
        <v>6786</v>
      </c>
      <c r="C129" s="28"/>
      <c r="D129" s="11"/>
      <c r="E129" s="320">
        <v>8454346</v>
      </c>
      <c r="F129" s="320">
        <v>28322059</v>
      </c>
      <c r="G129" s="2" t="s">
        <v>5472</v>
      </c>
      <c r="H129" s="3">
        <v>15359304.269892</v>
      </c>
      <c r="M129" s="361" t="s">
        <v>4127</v>
      </c>
      <c r="N129" s="1">
        <v>2749471.1668000002</v>
      </c>
      <c r="O129" s="361" t="s">
        <v>4939</v>
      </c>
      <c r="P129" s="361">
        <v>-8792</v>
      </c>
      <c r="Q129" s="1">
        <v>441.90665999999999</v>
      </c>
      <c r="R129" s="1">
        <f t="shared" si="18"/>
        <v>-3885243.3547199997</v>
      </c>
      <c r="S129" s="280" t="s">
        <v>4940</v>
      </c>
      <c r="AB129" s="360"/>
      <c r="AC129" s="360"/>
      <c r="AJ129" s="63">
        <v>109</v>
      </c>
      <c r="AK129" s="64" t="s">
        <v>4473</v>
      </c>
      <c r="AL129" s="64">
        <v>8749050</v>
      </c>
      <c r="AM129" s="63">
        <v>1</v>
      </c>
      <c r="AN129" s="63">
        <f t="shared" si="21"/>
        <v>1157</v>
      </c>
      <c r="AO129" s="64">
        <f t="shared" si="20"/>
        <v>10122650850</v>
      </c>
      <c r="AP129" s="63" t="s">
        <v>4474</v>
      </c>
    </row>
    <row r="130" spans="1:45">
      <c r="A130" s="358"/>
      <c r="B130" s="28" t="s">
        <v>6780</v>
      </c>
      <c r="C130" s="28"/>
      <c r="D130" s="11"/>
      <c r="E130" s="320">
        <v>8586134</v>
      </c>
      <c r="F130" s="320">
        <v>28298912</v>
      </c>
      <c r="G130" s="2" t="s">
        <v>5474</v>
      </c>
      <c r="H130" s="3">
        <v>2868508.1846330003</v>
      </c>
      <c r="M130" s="361" t="s">
        <v>5420</v>
      </c>
      <c r="N130" s="1">
        <v>-680940.07019999996</v>
      </c>
      <c r="O130" s="361" t="s">
        <v>4946</v>
      </c>
      <c r="P130" s="361">
        <v>530</v>
      </c>
      <c r="Q130" s="1">
        <v>472</v>
      </c>
      <c r="R130" s="1">
        <f t="shared" si="18"/>
        <v>250160</v>
      </c>
      <c r="S130" s="280" t="s">
        <v>690</v>
      </c>
      <c r="AB130" s="360"/>
      <c r="AC130" s="360"/>
      <c r="AJ130" s="11">
        <v>110</v>
      </c>
      <c r="AK130" s="3" t="s">
        <v>4475</v>
      </c>
      <c r="AL130" s="3">
        <v>60000</v>
      </c>
      <c r="AM130" s="11">
        <v>1</v>
      </c>
      <c r="AN130" s="11">
        <f t="shared" si="21"/>
        <v>1156</v>
      </c>
      <c r="AO130" s="37">
        <f t="shared" si="20"/>
        <v>69360000</v>
      </c>
      <c r="AP130" s="11" t="s">
        <v>4476</v>
      </c>
    </row>
    <row r="131" spans="1:45">
      <c r="A131" s="358"/>
      <c r="B131" s="28" t="s">
        <v>6778</v>
      </c>
      <c r="C131" s="28"/>
      <c r="D131" s="11"/>
      <c r="E131" s="320">
        <v>8610051</v>
      </c>
      <c r="F131" s="320">
        <v>28757587</v>
      </c>
      <c r="G131" s="2" t="s">
        <v>5475</v>
      </c>
      <c r="H131" s="3">
        <v>17450393.011856001</v>
      </c>
      <c r="M131" s="361" t="s">
        <v>5420</v>
      </c>
      <c r="N131" s="1">
        <v>-48684800.338199995</v>
      </c>
      <c r="O131" s="361" t="s">
        <v>4946</v>
      </c>
      <c r="P131" s="361">
        <v>12</v>
      </c>
      <c r="Q131" s="1">
        <v>481.86</v>
      </c>
      <c r="R131" s="1">
        <f t="shared" si="18"/>
        <v>5782.32</v>
      </c>
      <c r="S131" s="280" t="s">
        <v>4948</v>
      </c>
      <c r="AB131" s="360"/>
      <c r="AC131" s="360"/>
      <c r="AJ131" s="20">
        <v>111</v>
      </c>
      <c r="AK131" s="37" t="s">
        <v>4484</v>
      </c>
      <c r="AL131" s="37">
        <v>4750000</v>
      </c>
      <c r="AM131" s="20">
        <v>0</v>
      </c>
      <c r="AN131" s="11">
        <f t="shared" si="21"/>
        <v>1155</v>
      </c>
      <c r="AO131" s="37">
        <f t="shared" si="20"/>
        <v>5486250000</v>
      </c>
      <c r="AP131" s="20"/>
      <c r="AS131" t="s">
        <v>25</v>
      </c>
    </row>
    <row r="132" spans="1:45">
      <c r="A132" s="358"/>
      <c r="B132" s="28" t="s">
        <v>6776</v>
      </c>
      <c r="C132" s="28"/>
      <c r="D132" s="11"/>
      <c r="E132" s="320">
        <v>8513365</v>
      </c>
      <c r="F132" s="320">
        <v>28095606</v>
      </c>
      <c r="G132" s="2" t="s">
        <v>5476</v>
      </c>
      <c r="H132" s="3">
        <v>31388943.254850004</v>
      </c>
      <c r="M132" s="361" t="s">
        <v>5435</v>
      </c>
      <c r="N132" s="1">
        <v>1500000</v>
      </c>
      <c r="O132" s="361" t="s">
        <v>4972</v>
      </c>
      <c r="P132" s="361">
        <v>846</v>
      </c>
      <c r="Q132" s="1">
        <v>472.7</v>
      </c>
      <c r="R132" s="1">
        <f t="shared" si="18"/>
        <v>399904.2</v>
      </c>
      <c r="S132" s="280" t="s">
        <v>422</v>
      </c>
      <c r="AB132" s="360"/>
      <c r="AC132" s="360"/>
      <c r="AE132" t="s">
        <v>25</v>
      </c>
      <c r="AJ132" s="63">
        <v>112</v>
      </c>
      <c r="AK132" s="64" t="s">
        <v>4484</v>
      </c>
      <c r="AL132" s="64">
        <v>13101160</v>
      </c>
      <c r="AM132" s="63">
        <v>1</v>
      </c>
      <c r="AN132" s="63">
        <f t="shared" si="21"/>
        <v>1155</v>
      </c>
      <c r="AO132" s="64">
        <f t="shared" si="20"/>
        <v>15131839800</v>
      </c>
      <c r="AP132" s="63" t="s">
        <v>4487</v>
      </c>
    </row>
    <row r="133" spans="1:45">
      <c r="A133" s="358"/>
      <c r="B133" s="28" t="s">
        <v>6766</v>
      </c>
      <c r="C133" s="28"/>
      <c r="D133" s="11"/>
      <c r="E133" s="320">
        <v>8529023</v>
      </c>
      <c r="F133" s="320">
        <v>28319161</v>
      </c>
      <c r="G133" s="2" t="s">
        <v>5477</v>
      </c>
      <c r="H133" s="3">
        <v>30912095.373174001</v>
      </c>
      <c r="M133" s="361" t="s">
        <v>900</v>
      </c>
      <c r="N133" s="1">
        <v>11221062</v>
      </c>
      <c r="O133" s="361" t="s">
        <v>4975</v>
      </c>
      <c r="P133" s="361">
        <v>191</v>
      </c>
      <c r="Q133" s="1">
        <v>484.572</v>
      </c>
      <c r="R133" s="1">
        <f t="shared" si="18"/>
        <v>92553.252000000008</v>
      </c>
      <c r="S133" s="280" t="s">
        <v>4976</v>
      </c>
      <c r="AB133" s="360"/>
      <c r="AC133" s="360"/>
      <c r="AJ133" s="20">
        <v>113</v>
      </c>
      <c r="AK133" s="37" t="s">
        <v>4486</v>
      </c>
      <c r="AL133" s="37">
        <v>-980000</v>
      </c>
      <c r="AM133" s="20">
        <v>0</v>
      </c>
      <c r="AN133" s="11">
        <f t="shared" si="21"/>
        <v>1154</v>
      </c>
      <c r="AO133" s="37">
        <f t="shared" si="20"/>
        <v>-1130920000</v>
      </c>
      <c r="AP133" s="20"/>
    </row>
    <row r="134" spans="1:45">
      <c r="A134" s="358"/>
      <c r="B134" s="28" t="s">
        <v>6762</v>
      </c>
      <c r="C134" s="28"/>
      <c r="D134" s="11"/>
      <c r="E134" s="320">
        <v>8453570</v>
      </c>
      <c r="F134" s="320">
        <v>28140133</v>
      </c>
      <c r="G134" s="2" t="s">
        <v>5479</v>
      </c>
      <c r="H134" s="3">
        <v>19602926.115093999</v>
      </c>
      <c r="M134" s="361" t="s">
        <v>5605</v>
      </c>
      <c r="N134" s="1">
        <v>20031495.928431001</v>
      </c>
      <c r="O134" s="361" t="s">
        <v>4975</v>
      </c>
      <c r="P134" s="361">
        <v>-206</v>
      </c>
      <c r="Q134" s="1">
        <v>484.572</v>
      </c>
      <c r="R134" s="1">
        <f t="shared" si="18"/>
        <v>-99821.831999999995</v>
      </c>
      <c r="S134" s="280" t="s">
        <v>4978</v>
      </c>
      <c r="AB134" s="360"/>
      <c r="AC134" s="360"/>
      <c r="AD134" t="s">
        <v>25</v>
      </c>
      <c r="AJ134" s="63">
        <v>114</v>
      </c>
      <c r="AK134" s="64" t="s">
        <v>4486</v>
      </c>
      <c r="AL134" s="64">
        <v>13301790</v>
      </c>
      <c r="AM134" s="63">
        <v>0</v>
      </c>
      <c r="AN134" s="63">
        <f t="shared" si="21"/>
        <v>1154</v>
      </c>
      <c r="AO134" s="64">
        <f t="shared" si="20"/>
        <v>15350265660</v>
      </c>
      <c r="AP134" s="63" t="s">
        <v>4487</v>
      </c>
      <c r="AS134" t="s">
        <v>25</v>
      </c>
    </row>
    <row r="135" spans="1:45">
      <c r="A135" s="358"/>
      <c r="B135" s="28" t="s">
        <v>6741</v>
      </c>
      <c r="C135" s="28"/>
      <c r="D135" s="11"/>
      <c r="E135" s="320">
        <v>8482269</v>
      </c>
      <c r="F135" s="320">
        <v>26967121</v>
      </c>
      <c r="G135" s="2" t="s">
        <v>5480</v>
      </c>
      <c r="H135" s="3">
        <v>34458590.308710001</v>
      </c>
      <c r="M135" s="361" t="s">
        <v>5616</v>
      </c>
      <c r="N135" s="1">
        <v>-154353015.43906799</v>
      </c>
      <c r="O135" s="361" t="s">
        <v>4979</v>
      </c>
      <c r="P135" s="361">
        <v>20685</v>
      </c>
      <c r="Q135" s="1">
        <v>483.43312200000003</v>
      </c>
      <c r="R135" s="1">
        <f t="shared" si="18"/>
        <v>9999814.1285699997</v>
      </c>
      <c r="S135" s="280" t="s">
        <v>4981</v>
      </c>
      <c r="AB135" s="360"/>
      <c r="AC135" s="360"/>
      <c r="AD135" t="s">
        <v>25</v>
      </c>
      <c r="AE135" t="s">
        <v>25</v>
      </c>
      <c r="AJ135" s="20">
        <v>115</v>
      </c>
      <c r="AK135" s="37" t="s">
        <v>4486</v>
      </c>
      <c r="AL135" s="37">
        <v>404000</v>
      </c>
      <c r="AM135" s="20">
        <v>5</v>
      </c>
      <c r="AN135" s="11">
        <f t="shared" si="21"/>
        <v>1154</v>
      </c>
      <c r="AO135" s="37">
        <f t="shared" si="20"/>
        <v>466216000</v>
      </c>
      <c r="AP135" s="20" t="s">
        <v>4493</v>
      </c>
    </row>
    <row r="136" spans="1:45">
      <c r="A136" s="358"/>
      <c r="B136" s="28" t="s">
        <v>6740</v>
      </c>
      <c r="C136" s="28"/>
      <c r="D136" s="11"/>
      <c r="E136" s="320">
        <v>8642567</v>
      </c>
      <c r="F136" s="320">
        <v>26783008</v>
      </c>
      <c r="G136" s="2" t="s">
        <v>5481</v>
      </c>
      <c r="H136" s="3">
        <v>21697868.203256</v>
      </c>
      <c r="M136" s="361" t="s">
        <v>5634</v>
      </c>
      <c r="N136" s="1">
        <v>16643927.89773</v>
      </c>
      <c r="O136" s="361" t="s">
        <v>4979</v>
      </c>
      <c r="P136" s="361">
        <v>-413</v>
      </c>
      <c r="Q136" s="1">
        <v>483.40199999999999</v>
      </c>
      <c r="R136" s="1">
        <f t="shared" si="18"/>
        <v>-199645.02599999998</v>
      </c>
      <c r="S136" s="280" t="s">
        <v>4316</v>
      </c>
      <c r="AB136" s="360"/>
      <c r="AC136" s="360"/>
      <c r="AJ136" s="63">
        <v>116</v>
      </c>
      <c r="AK136" s="64" t="s">
        <v>4499</v>
      </c>
      <c r="AL136" s="64">
        <v>4291628</v>
      </c>
      <c r="AM136" s="63">
        <v>2</v>
      </c>
      <c r="AN136" s="63">
        <f t="shared" si="21"/>
        <v>1149</v>
      </c>
      <c r="AO136" s="64">
        <f t="shared" si="20"/>
        <v>4931080572</v>
      </c>
      <c r="AP136" s="63" t="s">
        <v>4500</v>
      </c>
    </row>
    <row r="137" spans="1:45">
      <c r="A137" s="358"/>
      <c r="B137" s="28" t="s">
        <v>6729</v>
      </c>
      <c r="C137" s="28"/>
      <c r="D137" s="11"/>
      <c r="E137" s="320">
        <v>8644960</v>
      </c>
      <c r="F137" s="320">
        <v>22891512</v>
      </c>
      <c r="G137" s="2" t="s">
        <v>5482</v>
      </c>
      <c r="H137" s="3">
        <v>25340079.252110001</v>
      </c>
      <c r="M137" s="361" t="s">
        <v>5635</v>
      </c>
      <c r="N137" s="1">
        <v>33355467.51292</v>
      </c>
      <c r="O137" s="361" t="s">
        <v>4979</v>
      </c>
      <c r="P137" s="361">
        <v>413</v>
      </c>
      <c r="Q137" s="1">
        <v>483.40199999999999</v>
      </c>
      <c r="R137" s="1">
        <f t="shared" si="18"/>
        <v>199645.02599999998</v>
      </c>
      <c r="S137" s="280" t="s">
        <v>690</v>
      </c>
      <c r="AB137" s="360"/>
      <c r="AC137" s="360"/>
      <c r="AD137" t="s">
        <v>25</v>
      </c>
      <c r="AE137" t="s">
        <v>25</v>
      </c>
      <c r="AJ137" s="20">
        <v>117</v>
      </c>
      <c r="AK137" s="37" t="s">
        <v>4502</v>
      </c>
      <c r="AL137" s="37">
        <v>1000</v>
      </c>
      <c r="AM137" s="20">
        <v>5</v>
      </c>
      <c r="AN137" s="20">
        <f t="shared" si="21"/>
        <v>1147</v>
      </c>
      <c r="AO137" s="37">
        <f t="shared" si="20"/>
        <v>1147000</v>
      </c>
      <c r="AP137" s="20"/>
    </row>
    <row r="138" spans="1:45">
      <c r="A138" s="358"/>
      <c r="B138" s="28" t="s">
        <v>6727</v>
      </c>
      <c r="C138" s="28"/>
      <c r="D138" s="11"/>
      <c r="E138" s="320">
        <v>8805601</v>
      </c>
      <c r="F138" s="320">
        <v>23027738</v>
      </c>
      <c r="G138" s="2" t="s">
        <v>5483</v>
      </c>
      <c r="H138" s="3">
        <v>14780983.183526</v>
      </c>
      <c r="M138" s="361" t="s">
        <v>5985</v>
      </c>
      <c r="N138" s="1">
        <v>30000000</v>
      </c>
      <c r="O138" s="361" t="s">
        <v>4984</v>
      </c>
      <c r="P138" s="361">
        <v>-828</v>
      </c>
      <c r="Q138" s="1">
        <v>483.43312200000003</v>
      </c>
      <c r="R138" s="1">
        <f t="shared" si="18"/>
        <v>-400282.62501600001</v>
      </c>
      <c r="S138" s="280" t="s">
        <v>422</v>
      </c>
      <c r="AB138" s="360"/>
      <c r="AC138" s="360"/>
      <c r="AJ138" s="53">
        <v>118</v>
      </c>
      <c r="AK138" s="54" t="s">
        <v>4509</v>
      </c>
      <c r="AL138" s="54">
        <v>8739459</v>
      </c>
      <c r="AM138" s="53">
        <v>2</v>
      </c>
      <c r="AN138" s="53">
        <f t="shared" si="21"/>
        <v>1142</v>
      </c>
      <c r="AO138" s="54">
        <f t="shared" si="20"/>
        <v>9980462178</v>
      </c>
      <c r="AP138" s="53" t="s">
        <v>4474</v>
      </c>
    </row>
    <row r="139" spans="1:45">
      <c r="A139" s="358"/>
      <c r="B139" s="28" t="s">
        <v>6708</v>
      </c>
      <c r="C139" s="28"/>
      <c r="D139" s="11"/>
      <c r="E139" s="320">
        <v>8781893</v>
      </c>
      <c r="F139" s="320">
        <v>22935150</v>
      </c>
      <c r="G139" s="2" t="s">
        <v>5485</v>
      </c>
      <c r="H139" s="3">
        <v>17804396.448481999</v>
      </c>
      <c r="M139" s="361" t="s">
        <v>5995</v>
      </c>
      <c r="N139" s="1">
        <v>6000000</v>
      </c>
      <c r="O139" s="361" t="s">
        <v>4987</v>
      </c>
      <c r="P139" s="361">
        <v>12</v>
      </c>
      <c r="Q139" s="1">
        <v>473.61898300000001</v>
      </c>
      <c r="R139" s="1">
        <f t="shared" si="18"/>
        <v>5683.4277959999999</v>
      </c>
      <c r="S139" s="280" t="s">
        <v>422</v>
      </c>
      <c r="AB139" s="360"/>
      <c r="AC139" s="360"/>
      <c r="AD139" t="s">
        <v>25</v>
      </c>
      <c r="AE139" t="s">
        <v>25</v>
      </c>
      <c r="AJ139" s="53">
        <v>119</v>
      </c>
      <c r="AK139" s="54" t="s">
        <v>4510</v>
      </c>
      <c r="AL139" s="54">
        <v>17595278</v>
      </c>
      <c r="AM139" s="53">
        <v>1</v>
      </c>
      <c r="AN139" s="53">
        <f t="shared" si="21"/>
        <v>1140</v>
      </c>
      <c r="AO139" s="54">
        <f t="shared" si="20"/>
        <v>20058616920</v>
      </c>
      <c r="AP139" s="53" t="s">
        <v>4512</v>
      </c>
      <c r="AS139" t="s">
        <v>25</v>
      </c>
    </row>
    <row r="140" spans="1:45">
      <c r="A140" s="358"/>
      <c r="B140" s="28" t="s">
        <v>6707</v>
      </c>
      <c r="C140" s="28"/>
      <c r="D140" s="11"/>
      <c r="E140" s="320">
        <v>8795917</v>
      </c>
      <c r="F140" s="320">
        <v>22289254</v>
      </c>
      <c r="G140" s="2" t="s">
        <v>5488</v>
      </c>
      <c r="H140" s="3">
        <v>11538335.631417999</v>
      </c>
      <c r="M140" s="361" t="s">
        <v>6061</v>
      </c>
      <c r="N140" s="1">
        <v>126128.77475900001</v>
      </c>
      <c r="O140" s="361" t="s">
        <v>4990</v>
      </c>
      <c r="P140" s="361">
        <v>963</v>
      </c>
      <c r="Q140" s="1">
        <v>477.92200000000003</v>
      </c>
      <c r="R140" s="1">
        <f t="shared" si="18"/>
        <v>460238.886</v>
      </c>
      <c r="S140" s="280" t="s">
        <v>422</v>
      </c>
      <c r="AB140" s="360"/>
      <c r="AC140" s="360"/>
      <c r="AJ140" s="53">
        <v>120</v>
      </c>
      <c r="AK140" s="54" t="s">
        <v>4511</v>
      </c>
      <c r="AL140" s="54">
        <v>13335309</v>
      </c>
      <c r="AM140" s="53">
        <v>13</v>
      </c>
      <c r="AN140" s="53">
        <f t="shared" si="21"/>
        <v>1139</v>
      </c>
      <c r="AO140" s="54">
        <f t="shared" si="20"/>
        <v>15188916951</v>
      </c>
      <c r="AP140" s="53" t="s">
        <v>4487</v>
      </c>
    </row>
    <row r="141" spans="1:45">
      <c r="A141" s="358"/>
      <c r="B141" s="28" t="s">
        <v>6702</v>
      </c>
      <c r="C141" s="28"/>
      <c r="D141" s="11"/>
      <c r="E141" s="320">
        <v>8867443</v>
      </c>
      <c r="F141" s="320">
        <v>22669798</v>
      </c>
      <c r="G141" s="2" t="s">
        <v>5489</v>
      </c>
      <c r="H141" s="3">
        <v>12429517.767776001</v>
      </c>
      <c r="M141" s="361" t="s">
        <v>6590</v>
      </c>
      <c r="N141" s="1">
        <v>7000000</v>
      </c>
      <c r="O141" s="361" t="s">
        <v>4991</v>
      </c>
      <c r="P141" s="361">
        <v>2815</v>
      </c>
      <c r="Q141" s="1">
        <v>461.79</v>
      </c>
      <c r="R141" s="1">
        <f t="shared" si="18"/>
        <v>1299938.8500000001</v>
      </c>
      <c r="S141" s="280" t="s">
        <v>422</v>
      </c>
      <c r="AB141" s="360"/>
      <c r="AC141" s="360"/>
      <c r="AD141" t="s">
        <v>25</v>
      </c>
      <c r="AJ141" s="109">
        <v>121</v>
      </c>
      <c r="AK141" s="152" t="s">
        <v>4558</v>
      </c>
      <c r="AL141" s="152">
        <v>50000000</v>
      </c>
      <c r="AM141" s="109">
        <v>11</v>
      </c>
      <c r="AN141" s="109">
        <f t="shared" si="21"/>
        <v>1126</v>
      </c>
      <c r="AO141" s="152">
        <f t="shared" si="20"/>
        <v>56300000000</v>
      </c>
      <c r="AP141" s="109" t="s">
        <v>4559</v>
      </c>
      <c r="AR141" t="s">
        <v>25</v>
      </c>
    </row>
    <row r="142" spans="1:45">
      <c r="A142" s="358"/>
      <c r="B142" s="28" t="s">
        <v>6692</v>
      </c>
      <c r="C142" s="28"/>
      <c r="D142" s="11"/>
      <c r="E142" s="320">
        <v>8821867</v>
      </c>
      <c r="F142" s="320">
        <v>23080898</v>
      </c>
      <c r="G142" s="2" t="s">
        <v>5497</v>
      </c>
      <c r="H142" s="3">
        <v>5031176.5087869996</v>
      </c>
      <c r="M142" s="361" t="s">
        <v>6659</v>
      </c>
      <c r="N142" s="1">
        <v>-450269000</v>
      </c>
      <c r="O142" s="361" t="s">
        <v>4991</v>
      </c>
      <c r="P142" s="361">
        <v>1581</v>
      </c>
      <c r="Q142" s="1">
        <v>461.79</v>
      </c>
      <c r="R142" s="1">
        <f t="shared" si="18"/>
        <v>730089.99</v>
      </c>
      <c r="S142" s="280" t="s">
        <v>422</v>
      </c>
      <c r="AB142" s="360"/>
      <c r="AC142" s="360"/>
      <c r="AE142" t="s">
        <v>25</v>
      </c>
      <c r="AJ142" s="20">
        <v>122</v>
      </c>
      <c r="AK142" s="37" t="s">
        <v>894</v>
      </c>
      <c r="AL142" s="37">
        <v>30000</v>
      </c>
      <c r="AM142" s="20">
        <v>3</v>
      </c>
      <c r="AN142" s="20">
        <f t="shared" si="21"/>
        <v>1115</v>
      </c>
      <c r="AO142" s="37">
        <f t="shared" si="20"/>
        <v>33450000</v>
      </c>
      <c r="AP142" s="20"/>
    </row>
    <row r="143" spans="1:45">
      <c r="G143" s="2" t="s">
        <v>5499</v>
      </c>
      <c r="H143" s="3">
        <v>6822803.9080700008</v>
      </c>
      <c r="M143" s="361" t="s">
        <v>6667</v>
      </c>
      <c r="N143" s="1">
        <v>50000000</v>
      </c>
      <c r="O143" s="361" t="s">
        <v>912</v>
      </c>
      <c r="P143" s="361">
        <v>41</v>
      </c>
      <c r="Q143" s="1">
        <v>514.48099999999999</v>
      </c>
      <c r="R143" s="1">
        <f t="shared" si="18"/>
        <v>21093.721000000001</v>
      </c>
      <c r="S143" s="280" t="s">
        <v>4976</v>
      </c>
      <c r="AA143" t="s">
        <v>25</v>
      </c>
      <c r="AB143" s="360"/>
      <c r="AC143" s="360"/>
      <c r="AJ143" s="20">
        <v>123</v>
      </c>
      <c r="AK143" s="37" t="s">
        <v>4613</v>
      </c>
      <c r="AL143" s="37">
        <v>600000</v>
      </c>
      <c r="AM143" s="20">
        <v>1</v>
      </c>
      <c r="AN143" s="20">
        <f t="shared" si="21"/>
        <v>1112</v>
      </c>
      <c r="AO143" s="37">
        <f t="shared" si="20"/>
        <v>667200000</v>
      </c>
      <c r="AP143" s="20"/>
    </row>
    <row r="144" spans="1:45">
      <c r="G144" s="2" t="s">
        <v>5503</v>
      </c>
      <c r="H144" s="3">
        <v>330889.73324399994</v>
      </c>
      <c r="M144" s="361" t="s">
        <v>6673</v>
      </c>
      <c r="N144" s="1">
        <v>50000000</v>
      </c>
      <c r="O144" s="361" t="s">
        <v>4171</v>
      </c>
      <c r="P144" s="361">
        <v>71</v>
      </c>
      <c r="Q144" s="1">
        <v>482.57</v>
      </c>
      <c r="R144" s="1">
        <f t="shared" si="18"/>
        <v>34262.47</v>
      </c>
      <c r="S144" s="280" t="s">
        <v>4976</v>
      </c>
      <c r="AB144" t="s">
        <v>25</v>
      </c>
      <c r="AE144" t="s">
        <v>25</v>
      </c>
      <c r="AJ144" s="20">
        <v>124</v>
      </c>
      <c r="AK144" s="37" t="s">
        <v>4616</v>
      </c>
      <c r="AL144" s="37">
        <v>30000</v>
      </c>
      <c r="AM144" s="20">
        <v>3</v>
      </c>
      <c r="AN144" s="20">
        <f t="shared" si="21"/>
        <v>1111</v>
      </c>
      <c r="AO144" s="37">
        <f t="shared" si="20"/>
        <v>33330000</v>
      </c>
      <c r="AP144" s="20"/>
    </row>
    <row r="145" spans="1:46">
      <c r="G145" s="2" t="s">
        <v>5511</v>
      </c>
      <c r="H145" s="3">
        <v>6610318.1610199995</v>
      </c>
      <c r="M145" s="361" t="s">
        <v>6674</v>
      </c>
      <c r="N145" s="1">
        <v>50000000</v>
      </c>
      <c r="O145" s="361" t="s">
        <v>5011</v>
      </c>
      <c r="P145" s="361">
        <v>-250</v>
      </c>
      <c r="Q145" s="1">
        <v>487.125</v>
      </c>
      <c r="R145" s="1">
        <f t="shared" si="18"/>
        <v>-121781.25</v>
      </c>
      <c r="S145" s="280"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1:46">
      <c r="G146" s="2" t="s">
        <v>5512</v>
      </c>
      <c r="H146" s="3">
        <v>710713.17725199996</v>
      </c>
      <c r="M146" s="361" t="s">
        <v>6675</v>
      </c>
      <c r="N146" s="1">
        <v>50000000</v>
      </c>
      <c r="O146" s="361" t="s">
        <v>5011</v>
      </c>
      <c r="P146" s="361">
        <v>250</v>
      </c>
      <c r="Q146" s="1">
        <v>487.125</v>
      </c>
      <c r="R146" s="1">
        <f t="shared" si="18"/>
        <v>121781.25</v>
      </c>
      <c r="S146" s="280" t="s">
        <v>690</v>
      </c>
      <c r="AB146" t="s">
        <v>25</v>
      </c>
      <c r="AC146" t="s">
        <v>25</v>
      </c>
      <c r="AJ146" s="23">
        <v>126</v>
      </c>
      <c r="AK146" s="31" t="s">
        <v>4627</v>
      </c>
      <c r="AL146" s="31">
        <v>-31412200</v>
      </c>
      <c r="AM146" s="23">
        <v>1</v>
      </c>
      <c r="AN146" s="20">
        <f t="shared" si="21"/>
        <v>1107</v>
      </c>
      <c r="AO146" s="31">
        <f>AL146*AN146</f>
        <v>-34773305400</v>
      </c>
      <c r="AP146" s="23" t="s">
        <v>4615</v>
      </c>
    </row>
    <row r="147" spans="1:46">
      <c r="G147" s="2" t="s">
        <v>5513</v>
      </c>
      <c r="H147" s="3">
        <v>81025</v>
      </c>
      <c r="M147" s="361" t="s">
        <v>6676</v>
      </c>
      <c r="N147" s="1">
        <v>100000000</v>
      </c>
      <c r="O147" s="361" t="s">
        <v>5019</v>
      </c>
      <c r="P147" s="361">
        <v>-1439</v>
      </c>
      <c r="Q147" s="1">
        <v>486.53068999999999</v>
      </c>
      <c r="R147" s="1">
        <f t="shared" si="18"/>
        <v>-700117.66290999996</v>
      </c>
      <c r="S147" s="280" t="s">
        <v>4316</v>
      </c>
      <c r="AB147" t="s">
        <v>25</v>
      </c>
      <c r="AC147" t="s">
        <v>25</v>
      </c>
      <c r="AE147" t="s">
        <v>25</v>
      </c>
      <c r="AJ147" s="20">
        <v>127</v>
      </c>
      <c r="AK147" s="37" t="s">
        <v>4636</v>
      </c>
      <c r="AL147" s="37">
        <v>70000</v>
      </c>
      <c r="AM147" s="20">
        <v>9</v>
      </c>
      <c r="AN147" s="20">
        <f t="shared" si="21"/>
        <v>1106</v>
      </c>
      <c r="AO147" s="37">
        <f>AL147*AN147</f>
        <v>77420000</v>
      </c>
      <c r="AP147" s="20"/>
    </row>
    <row r="148" spans="1:46">
      <c r="G148" s="2" t="s">
        <v>5516</v>
      </c>
      <c r="H148" s="3">
        <v>219696.613128</v>
      </c>
      <c r="M148" s="361" t="s">
        <v>6678</v>
      </c>
      <c r="N148" s="1">
        <v>50000000</v>
      </c>
      <c r="O148" s="361" t="s">
        <v>5019</v>
      </c>
      <c r="P148" s="361">
        <v>411</v>
      </c>
      <c r="Q148" s="1">
        <v>486.53068999999999</v>
      </c>
      <c r="R148" s="1">
        <f t="shared" si="18"/>
        <v>199964.11358999999</v>
      </c>
      <c r="S148" s="280" t="s">
        <v>690</v>
      </c>
      <c r="AC148" t="s">
        <v>25</v>
      </c>
      <c r="AD148" t="s">
        <v>25</v>
      </c>
      <c r="AJ148" s="11">
        <v>128</v>
      </c>
      <c r="AK148" s="3" t="s">
        <v>4642</v>
      </c>
      <c r="AL148" s="3">
        <v>20000</v>
      </c>
      <c r="AM148" s="11">
        <v>10</v>
      </c>
      <c r="AN148" s="20">
        <f t="shared" si="21"/>
        <v>1097</v>
      </c>
      <c r="AO148" s="37">
        <f>AL148*AN148</f>
        <v>21940000</v>
      </c>
      <c r="AP148" s="20"/>
      <c r="AR148" t="s">
        <v>25</v>
      </c>
    </row>
    <row r="149" spans="1:46">
      <c r="G149" s="2" t="s">
        <v>5517</v>
      </c>
      <c r="H149" s="3">
        <v>6035472.4070199998</v>
      </c>
      <c r="M149" s="361" t="s">
        <v>6680</v>
      </c>
      <c r="N149" s="1">
        <v>11300000</v>
      </c>
      <c r="O149" s="361" t="s">
        <v>4989</v>
      </c>
      <c r="P149" s="361">
        <v>-4290</v>
      </c>
      <c r="Q149" s="1">
        <v>497.57670000000002</v>
      </c>
      <c r="R149" s="1">
        <f t="shared" si="18"/>
        <v>-2134604.0430000001</v>
      </c>
      <c r="S149" s="280" t="s">
        <v>422</v>
      </c>
      <c r="AA149" t="s">
        <v>25</v>
      </c>
      <c r="AB149" s="387" t="s">
        <v>25</v>
      </c>
      <c r="AC149" t="s">
        <v>25</v>
      </c>
      <c r="AJ149" s="11">
        <v>129</v>
      </c>
      <c r="AK149" s="3" t="s">
        <v>4661</v>
      </c>
      <c r="AL149" s="3">
        <v>1000000</v>
      </c>
      <c r="AM149" s="11">
        <v>1</v>
      </c>
      <c r="AN149" s="20">
        <f t="shared" si="21"/>
        <v>1087</v>
      </c>
      <c r="AO149" s="37">
        <f>AL149*AN149</f>
        <v>1087000000</v>
      </c>
      <c r="AP149" s="20"/>
    </row>
    <row r="150" spans="1:46">
      <c r="G150" s="2" t="s">
        <v>5518</v>
      </c>
      <c r="H150" s="3">
        <v>984486.34963200008</v>
      </c>
      <c r="M150" s="361" t="s">
        <v>6680</v>
      </c>
      <c r="N150" s="1">
        <v>65111600</v>
      </c>
      <c r="O150" s="361" t="s">
        <v>5026</v>
      </c>
      <c r="P150" s="361">
        <v>-644</v>
      </c>
      <c r="Q150" s="1">
        <v>494.76464499999997</v>
      </c>
      <c r="R150" s="1">
        <f t="shared" si="18"/>
        <v>-318628.43137999997</v>
      </c>
      <c r="S150" s="280" t="s">
        <v>422</v>
      </c>
      <c r="AB150" s="387"/>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1:46">
      <c r="G151" s="2" t="s">
        <v>5519</v>
      </c>
      <c r="H151" s="3">
        <v>2143469.938015</v>
      </c>
      <c r="M151" s="361" t="s">
        <v>6684</v>
      </c>
      <c r="N151" s="1">
        <v>25000000</v>
      </c>
      <c r="O151" s="361" t="s">
        <v>5029</v>
      </c>
      <c r="P151" s="361">
        <v>-112</v>
      </c>
      <c r="Q151" s="1">
        <v>485.78</v>
      </c>
      <c r="R151" s="1">
        <f t="shared" si="18"/>
        <v>-54407.360000000001</v>
      </c>
      <c r="S151" s="280" t="s">
        <v>422</v>
      </c>
      <c r="AB151" s="387"/>
      <c r="AC151" t="s">
        <v>25</v>
      </c>
      <c r="AD151" t="s">
        <v>25</v>
      </c>
      <c r="AE151" s="7"/>
      <c r="AJ151" s="11">
        <v>131</v>
      </c>
      <c r="AK151" s="3" t="s">
        <v>4662</v>
      </c>
      <c r="AL151" s="3">
        <v>-3500000</v>
      </c>
      <c r="AM151" s="11">
        <v>6</v>
      </c>
      <c r="AN151" s="20">
        <f t="shared" si="21"/>
        <v>1086</v>
      </c>
      <c r="AO151" s="37">
        <f t="shared" si="22"/>
        <v>-3801000000</v>
      </c>
      <c r="AP151" s="20" t="s">
        <v>4664</v>
      </c>
    </row>
    <row r="152" spans="1:46">
      <c r="G152" s="2" t="s">
        <v>5529</v>
      </c>
      <c r="H152" s="3">
        <v>3085460.5177150001</v>
      </c>
      <c r="M152" s="361" t="s">
        <v>6709</v>
      </c>
      <c r="N152" s="1">
        <v>-35640108.705879003</v>
      </c>
      <c r="O152" s="361" t="s">
        <v>5029</v>
      </c>
      <c r="P152" s="361">
        <v>123</v>
      </c>
      <c r="Q152" s="1">
        <v>485.78</v>
      </c>
      <c r="R152" s="1">
        <f t="shared" si="18"/>
        <v>59750.939999999995</v>
      </c>
      <c r="S152" s="280" t="s">
        <v>690</v>
      </c>
      <c r="AB152" s="387"/>
      <c r="AC152" t="s">
        <v>25</v>
      </c>
      <c r="AD152" t="s">
        <v>25</v>
      </c>
      <c r="AE152" s="7" t="s">
        <v>25</v>
      </c>
      <c r="AF152" s="7"/>
      <c r="AJ152" s="11">
        <v>132</v>
      </c>
      <c r="AK152" s="3" t="s">
        <v>4674</v>
      </c>
      <c r="AL152" s="3">
        <v>2520000</v>
      </c>
      <c r="AM152" s="11">
        <v>12</v>
      </c>
      <c r="AN152" s="20">
        <f t="shared" si="21"/>
        <v>1080</v>
      </c>
      <c r="AO152" s="37">
        <f t="shared" si="22"/>
        <v>2721600000</v>
      </c>
      <c r="AP152" s="20"/>
    </row>
    <row r="153" spans="1:46">
      <c r="G153" s="2" t="s">
        <v>5530</v>
      </c>
      <c r="H153" s="3">
        <v>8261456.790906</v>
      </c>
      <c r="M153" s="361"/>
      <c r="N153" s="1"/>
      <c r="O153" s="361" t="s">
        <v>5029</v>
      </c>
      <c r="P153" s="361">
        <v>-123</v>
      </c>
      <c r="Q153" s="1">
        <v>485.78</v>
      </c>
      <c r="R153" s="1">
        <f t="shared" si="18"/>
        <v>-59750.939999999995</v>
      </c>
      <c r="S153" s="280" t="s">
        <v>4316</v>
      </c>
      <c r="AB153" s="387"/>
      <c r="AC153" t="s">
        <v>25</v>
      </c>
      <c r="AD153" t="s">
        <v>25</v>
      </c>
      <c r="AE153" t="s">
        <v>25</v>
      </c>
      <c r="AJ153" s="11">
        <v>133</v>
      </c>
      <c r="AK153" s="3" t="s">
        <v>4709</v>
      </c>
      <c r="AL153" s="3">
        <v>1400000</v>
      </c>
      <c r="AM153" s="11">
        <v>4</v>
      </c>
      <c r="AN153" s="20">
        <f t="shared" si="21"/>
        <v>1068</v>
      </c>
      <c r="AO153" s="37">
        <f t="shared" si="22"/>
        <v>1495200000</v>
      </c>
      <c r="AP153" s="20"/>
    </row>
    <row r="154" spans="1:46">
      <c r="G154" s="2" t="s">
        <v>5531</v>
      </c>
      <c r="H154" s="3">
        <v>6572373.7593120001</v>
      </c>
      <c r="M154" s="361"/>
      <c r="N154" s="1"/>
      <c r="O154" s="361" t="s">
        <v>5072</v>
      </c>
      <c r="P154" s="361">
        <v>32367</v>
      </c>
      <c r="Q154" s="1">
        <v>556.12900000000002</v>
      </c>
      <c r="R154" s="1">
        <f t="shared" si="18"/>
        <v>18000227.343000002</v>
      </c>
      <c r="S154" s="280" t="s">
        <v>422</v>
      </c>
      <c r="AB154" s="387"/>
      <c r="AD154" t="s">
        <v>25</v>
      </c>
      <c r="AJ154" s="11">
        <v>134</v>
      </c>
      <c r="AK154" s="3" t="s">
        <v>4724</v>
      </c>
      <c r="AL154" s="3">
        <v>1550000</v>
      </c>
      <c r="AM154" s="11">
        <v>2</v>
      </c>
      <c r="AN154" s="20">
        <f t="shared" si="21"/>
        <v>1064</v>
      </c>
      <c r="AO154" s="37">
        <f t="shared" si="22"/>
        <v>1649200000</v>
      </c>
      <c r="AP154" s="20"/>
    </row>
    <row r="155" spans="1:46" ht="18.75">
      <c r="A155" s="496" t="s">
        <v>4134</v>
      </c>
      <c r="B155" s="497">
        <f>C2+C9+C19+C33+C42</f>
        <v>1856085</v>
      </c>
      <c r="C155" s="499">
        <f>B155*D42</f>
        <v>5028134265</v>
      </c>
      <c r="D155" s="499"/>
      <c r="E155" s="498"/>
      <c r="G155" s="2" t="s">
        <v>5535</v>
      </c>
      <c r="H155" s="3">
        <v>2893243.5730909999</v>
      </c>
      <c r="M155" s="361" t="s">
        <v>25</v>
      </c>
      <c r="N155" s="1"/>
      <c r="O155" s="361" t="s">
        <v>5088</v>
      </c>
      <c r="P155" s="361">
        <v>1254</v>
      </c>
      <c r="Q155" s="1">
        <v>558.24400000000003</v>
      </c>
      <c r="R155" s="1">
        <f t="shared" si="18"/>
        <v>700037.97600000002</v>
      </c>
      <c r="S155" s="280" t="s">
        <v>4316</v>
      </c>
      <c r="AB155" s="387"/>
      <c r="AC155" t="s">
        <v>25</v>
      </c>
      <c r="AD155" t="s">
        <v>25</v>
      </c>
      <c r="AJ155" s="11">
        <v>135</v>
      </c>
      <c r="AK155" s="3" t="s">
        <v>4681</v>
      </c>
      <c r="AL155" s="3">
        <v>250000</v>
      </c>
      <c r="AM155" s="11">
        <v>6</v>
      </c>
      <c r="AN155" s="20">
        <f t="shared" si="21"/>
        <v>1062</v>
      </c>
      <c r="AO155" s="37">
        <f t="shared" si="22"/>
        <v>265500000</v>
      </c>
      <c r="AP155" s="20"/>
    </row>
    <row r="156" spans="1:46" ht="18.75">
      <c r="A156" s="496" t="s">
        <v>5140</v>
      </c>
      <c r="B156" s="497">
        <f>C3+C10+C20+C34+C43</f>
        <v>20000</v>
      </c>
      <c r="C156" s="499">
        <f>B156*D43</f>
        <v>19660000</v>
      </c>
      <c r="D156" s="499"/>
      <c r="E156" s="498"/>
      <c r="G156" s="2" t="s">
        <v>5536</v>
      </c>
      <c r="H156" s="3">
        <v>94992058.939007998</v>
      </c>
      <c r="M156" s="361"/>
      <c r="N156" s="1">
        <f>SUM(N83:N155)</f>
        <v>124345113.72729298</v>
      </c>
      <c r="O156" s="361" t="s">
        <v>5088</v>
      </c>
      <c r="P156" s="361">
        <v>-358</v>
      </c>
      <c r="Q156" s="1">
        <v>558.24400000000003</v>
      </c>
      <c r="R156" s="1">
        <f t="shared" si="18"/>
        <v>-199851.35200000001</v>
      </c>
      <c r="S156" s="280" t="s">
        <v>690</v>
      </c>
      <c r="AB156" s="387"/>
      <c r="AJ156" s="11">
        <v>136</v>
      </c>
      <c r="AK156" s="3" t="s">
        <v>4731</v>
      </c>
      <c r="AL156" s="3">
        <v>-48527480</v>
      </c>
      <c r="AM156" s="11">
        <v>14</v>
      </c>
      <c r="AN156" s="20">
        <f t="shared" si="21"/>
        <v>1056</v>
      </c>
      <c r="AO156" s="37">
        <f t="shared" si="22"/>
        <v>-51245018880</v>
      </c>
      <c r="AP156" s="20" t="s">
        <v>4733</v>
      </c>
    </row>
    <row r="157" spans="1:46" ht="18.75">
      <c r="A157" s="496" t="s">
        <v>6911</v>
      </c>
      <c r="B157" s="497">
        <f>C55+C56+C57+C58</f>
        <v>4955000</v>
      </c>
      <c r="C157" s="499">
        <f>B157*D55</f>
        <v>6441500000</v>
      </c>
      <c r="D157" s="499"/>
      <c r="E157" s="498"/>
      <c r="G157" s="2" t="s">
        <v>5538</v>
      </c>
      <c r="H157" s="3">
        <v>275021.925965</v>
      </c>
      <c r="M157" s="35"/>
      <c r="N157" s="361" t="s">
        <v>6</v>
      </c>
      <c r="O157" s="189" t="s">
        <v>5107</v>
      </c>
      <c r="P157" s="189">
        <v>63259</v>
      </c>
      <c r="Q157" s="190">
        <v>632.31960000000004</v>
      </c>
      <c r="R157" s="190">
        <f t="shared" si="18"/>
        <v>39999905.576400004</v>
      </c>
      <c r="S157" s="398" t="s">
        <v>1005</v>
      </c>
      <c r="AB157" s="387"/>
      <c r="AJ157" s="11">
        <v>137</v>
      </c>
      <c r="AK157" s="3" t="s">
        <v>4752</v>
      </c>
      <c r="AL157" s="3">
        <v>2100000</v>
      </c>
      <c r="AM157" s="11">
        <v>1</v>
      </c>
      <c r="AN157" s="20">
        <f t="shared" si="21"/>
        <v>1042</v>
      </c>
      <c r="AO157" s="37">
        <f t="shared" si="22"/>
        <v>2188200000</v>
      </c>
      <c r="AP157" s="20"/>
    </row>
    <row r="158" spans="1:46" ht="18.75">
      <c r="A158" s="496" t="s">
        <v>4716</v>
      </c>
      <c r="B158" s="497">
        <f>C12</f>
        <v>6582</v>
      </c>
      <c r="C158" s="499">
        <f>B158*D12</f>
        <v>142829400</v>
      </c>
      <c r="D158" s="499"/>
      <c r="E158" s="498"/>
      <c r="G158" s="2" t="s">
        <v>5542</v>
      </c>
      <c r="H158" s="3">
        <v>327451.9203</v>
      </c>
      <c r="M158" s="35"/>
      <c r="N158" s="35" t="s">
        <v>25</v>
      </c>
      <c r="O158" s="374" t="s">
        <v>5111</v>
      </c>
      <c r="P158" s="374">
        <v>-1278</v>
      </c>
      <c r="Q158" s="18">
        <v>625.98</v>
      </c>
      <c r="R158" s="18">
        <f t="shared" si="18"/>
        <v>-800002.44000000006</v>
      </c>
      <c r="S158" s="399" t="s">
        <v>5112</v>
      </c>
      <c r="AB158" s="387"/>
      <c r="AE158" t="s">
        <v>25</v>
      </c>
      <c r="AJ158" s="11">
        <v>138</v>
      </c>
      <c r="AK158" s="3" t="s">
        <v>4755</v>
      </c>
      <c r="AL158" s="3">
        <v>100000</v>
      </c>
      <c r="AM158" s="11">
        <v>4</v>
      </c>
      <c r="AN158" s="20">
        <f>AN159+AM158</f>
        <v>1041</v>
      </c>
      <c r="AO158" s="37">
        <f t="shared" si="22"/>
        <v>104100000</v>
      </c>
      <c r="AP158" s="20"/>
    </row>
    <row r="159" spans="1:46" ht="18.75">
      <c r="A159" s="496" t="s">
        <v>6945</v>
      </c>
      <c r="B159" s="497" t="e">
        <f>C51+#REF!+C52</f>
        <v>#REF!</v>
      </c>
      <c r="C159" s="499" t="e">
        <f>B159*D51</f>
        <v>#REF!</v>
      </c>
      <c r="D159" s="499"/>
      <c r="E159" s="498"/>
      <c r="G159" s="2" t="s">
        <v>5548</v>
      </c>
      <c r="H159" s="3">
        <v>260081.94096800001</v>
      </c>
      <c r="M159" s="361" t="s">
        <v>422</v>
      </c>
      <c r="N159" s="35"/>
      <c r="O159" s="374" t="s">
        <v>5116</v>
      </c>
      <c r="P159" s="374">
        <v>32049</v>
      </c>
      <c r="Q159" s="18">
        <v>624.04600000000005</v>
      </c>
      <c r="R159" s="18">
        <f t="shared" si="18"/>
        <v>20000050.254000001</v>
      </c>
      <c r="S159" s="399" t="s">
        <v>4981</v>
      </c>
      <c r="AB159" s="387"/>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1:46" ht="18.75">
      <c r="A160" s="496" t="s">
        <v>6955</v>
      </c>
      <c r="B160" s="497">
        <f>C53+C54</f>
        <v>300000</v>
      </c>
      <c r="C160" s="499">
        <f>B160*D53</f>
        <v>181200000</v>
      </c>
      <c r="D160" s="499"/>
      <c r="E160" s="498"/>
      <c r="G160" s="2" t="s">
        <v>5555</v>
      </c>
      <c r="H160" s="3">
        <v>2909284.5308940001</v>
      </c>
      <c r="M160" s="361" t="s">
        <v>4310</v>
      </c>
      <c r="N160" s="361"/>
      <c r="O160" s="374" t="s">
        <v>5123</v>
      </c>
      <c r="P160" s="374">
        <v>45094</v>
      </c>
      <c r="Q160" s="18">
        <v>614.13559759999998</v>
      </c>
      <c r="R160" s="18">
        <f t="shared" si="18"/>
        <v>27693830.6381744</v>
      </c>
      <c r="S160" s="399" t="s">
        <v>5125</v>
      </c>
      <c r="AB160" s="387"/>
      <c r="AE160" t="s">
        <v>25</v>
      </c>
      <c r="AJ160" s="11">
        <v>140</v>
      </c>
      <c r="AK160" s="3" t="s">
        <v>4760</v>
      </c>
      <c r="AL160" s="3">
        <v>1100000</v>
      </c>
      <c r="AM160" s="11">
        <v>0</v>
      </c>
      <c r="AN160" s="20">
        <f t="shared" si="23"/>
        <v>1037</v>
      </c>
      <c r="AO160" s="37">
        <f t="shared" si="24"/>
        <v>1140700000</v>
      </c>
      <c r="AP160" s="20" t="s">
        <v>4774</v>
      </c>
      <c r="AS160" t="s">
        <v>25</v>
      </c>
    </row>
    <row r="161" spans="1:45" ht="18.75">
      <c r="A161" s="496" t="s">
        <v>5595</v>
      </c>
      <c r="B161" s="497">
        <f>C5+C13+C21+C35+C46</f>
        <v>77795196</v>
      </c>
      <c r="C161" s="499">
        <f>B161*D46</f>
        <v>11747074596</v>
      </c>
      <c r="D161" s="499"/>
      <c r="E161" s="498"/>
      <c r="F161" s="561"/>
      <c r="G161" s="2" t="s">
        <v>5556</v>
      </c>
      <c r="H161" s="3">
        <v>37723205.094084002</v>
      </c>
      <c r="M161" s="361" t="s">
        <v>4350</v>
      </c>
      <c r="N161" s="1">
        <v>63115000</v>
      </c>
      <c r="O161" s="374" t="s">
        <v>5150</v>
      </c>
      <c r="P161" s="374">
        <v>-11804</v>
      </c>
      <c r="Q161" s="18">
        <v>762.46640000000002</v>
      </c>
      <c r="R161" s="18">
        <f t="shared" si="18"/>
        <v>-9000153.3856000006</v>
      </c>
      <c r="S161" s="399" t="s">
        <v>5152</v>
      </c>
      <c r="AA161" t="s">
        <v>25</v>
      </c>
      <c r="AB161" s="387"/>
      <c r="AJ161" s="11">
        <v>141</v>
      </c>
      <c r="AK161" s="3" t="s">
        <v>4760</v>
      </c>
      <c r="AL161" s="3">
        <v>115000</v>
      </c>
      <c r="AM161" s="11"/>
      <c r="AN161" s="20">
        <f t="shared" si="23"/>
        <v>1037</v>
      </c>
      <c r="AO161" s="37">
        <f t="shared" si="24"/>
        <v>119255000</v>
      </c>
      <c r="AP161" s="20"/>
      <c r="AS161" t="s">
        <v>25</v>
      </c>
    </row>
    <row r="162" spans="1:45" ht="18.75">
      <c r="A162" s="496">
        <v>1220</v>
      </c>
      <c r="B162" s="497">
        <f>C6+C14+C22+C36+C47</f>
        <v>9074000</v>
      </c>
      <c r="C162" s="499">
        <f>B162*D47</f>
        <v>1370174000</v>
      </c>
      <c r="D162" s="499"/>
      <c r="E162" s="498"/>
      <c r="F162" s="561"/>
      <c r="G162" s="2" t="s">
        <v>5557</v>
      </c>
      <c r="H162" s="3">
        <v>1500094.75168</v>
      </c>
      <c r="M162" s="361" t="s">
        <v>4358</v>
      </c>
      <c r="N162" s="1">
        <v>13300000</v>
      </c>
      <c r="O162" s="374" t="s">
        <v>5193</v>
      </c>
      <c r="P162" s="374">
        <v>844</v>
      </c>
      <c r="Q162" s="18">
        <v>830</v>
      </c>
      <c r="R162" s="18">
        <f t="shared" si="18"/>
        <v>700520</v>
      </c>
      <c r="S162" s="399" t="s">
        <v>4316</v>
      </c>
      <c r="AB162" s="387"/>
      <c r="AJ162" s="11">
        <v>142</v>
      </c>
      <c r="AK162" s="3" t="s">
        <v>4768</v>
      </c>
      <c r="AL162" s="3">
        <v>-1100000</v>
      </c>
      <c r="AM162" s="11"/>
      <c r="AN162" s="20">
        <f t="shared" si="23"/>
        <v>1037</v>
      </c>
      <c r="AO162" s="37">
        <f t="shared" si="24"/>
        <v>-1140700000</v>
      </c>
      <c r="AP162" s="20" t="s">
        <v>4775</v>
      </c>
      <c r="AS162" t="s">
        <v>25</v>
      </c>
    </row>
    <row r="163" spans="1:45" ht="18.75">
      <c r="A163" s="496">
        <v>6014</v>
      </c>
      <c r="B163" s="497">
        <f>C15+C23</f>
        <v>1520000</v>
      </c>
      <c r="C163" s="499">
        <f>B163*D15</f>
        <v>229520000</v>
      </c>
      <c r="D163" s="499"/>
      <c r="E163" s="498"/>
      <c r="F163" s="561"/>
      <c r="G163" s="2" t="s">
        <v>5558</v>
      </c>
      <c r="H163" s="3">
        <v>7230628.4378079996</v>
      </c>
      <c r="M163" s="361" t="s">
        <v>4442</v>
      </c>
      <c r="N163" s="1">
        <v>2269000</v>
      </c>
      <c r="O163" s="374" t="s">
        <v>5197</v>
      </c>
      <c r="P163" s="374">
        <v>8662</v>
      </c>
      <c r="Q163" s="18">
        <v>832.57011999999997</v>
      </c>
      <c r="R163" s="18">
        <f t="shared" si="18"/>
        <v>7211722.3794399993</v>
      </c>
      <c r="S163" s="399" t="s">
        <v>4976</v>
      </c>
      <c r="AA163" t="s">
        <v>25</v>
      </c>
      <c r="AB163" s="387"/>
      <c r="AJ163" s="11">
        <v>143</v>
      </c>
      <c r="AK163" s="3" t="s">
        <v>4768</v>
      </c>
      <c r="AL163" s="3">
        <v>900000</v>
      </c>
      <c r="AM163" s="11">
        <v>1</v>
      </c>
      <c r="AN163" s="20">
        <f t="shared" si="23"/>
        <v>1037</v>
      </c>
      <c r="AO163" s="37">
        <f t="shared" si="24"/>
        <v>933300000</v>
      </c>
      <c r="AP163" s="20" t="s">
        <v>4774</v>
      </c>
    </row>
    <row r="164" spans="1:45" ht="18.75">
      <c r="A164" s="496">
        <v>4011</v>
      </c>
      <c r="B164" s="497">
        <f>C48</f>
        <v>2406000</v>
      </c>
      <c r="C164" s="499">
        <f>B164*D48</f>
        <v>363306000</v>
      </c>
      <c r="D164" s="499"/>
      <c r="E164" s="498"/>
      <c r="F164" s="561"/>
      <c r="G164" s="2" t="s">
        <v>5560</v>
      </c>
      <c r="H164" s="3">
        <v>29767389.390390001</v>
      </c>
      <c r="M164" s="361" t="s">
        <v>4451</v>
      </c>
      <c r="N164" s="1">
        <v>25071612</v>
      </c>
      <c r="O164" s="374" t="s">
        <v>5198</v>
      </c>
      <c r="P164" s="374">
        <v>10253</v>
      </c>
      <c r="Q164" s="18">
        <v>827.2568</v>
      </c>
      <c r="R164" s="18">
        <f t="shared" si="18"/>
        <v>8481863.9704</v>
      </c>
      <c r="S164" s="399" t="s">
        <v>5201</v>
      </c>
      <c r="AJ164" s="11">
        <v>144</v>
      </c>
      <c r="AK164" s="3" t="s">
        <v>4772</v>
      </c>
      <c r="AL164" s="3">
        <v>2000000</v>
      </c>
      <c r="AM164" s="11">
        <v>0</v>
      </c>
      <c r="AN164" s="20">
        <f t="shared" si="23"/>
        <v>1036</v>
      </c>
      <c r="AO164" s="37">
        <f t="shared" si="24"/>
        <v>2072000000</v>
      </c>
      <c r="AP164" s="20"/>
    </row>
    <row r="165" spans="1:45" ht="18.75">
      <c r="A165" s="496">
        <v>4010</v>
      </c>
      <c r="B165" s="497">
        <f>C24</f>
        <v>90000</v>
      </c>
      <c r="C165" s="499">
        <f>B165*D24</f>
        <v>13590000</v>
      </c>
      <c r="D165" s="499"/>
      <c r="E165" s="498"/>
      <c r="F165" s="561"/>
      <c r="G165" s="2" t="s">
        <v>5562</v>
      </c>
      <c r="H165" s="3">
        <v>151560.25597</v>
      </c>
      <c r="M165" s="361" t="s">
        <v>4452</v>
      </c>
      <c r="N165" s="1">
        <v>42236984</v>
      </c>
      <c r="O165" s="395" t="s">
        <v>5202</v>
      </c>
      <c r="P165" s="395">
        <v>-33077</v>
      </c>
      <c r="Q165" s="396">
        <v>786.02973999999995</v>
      </c>
      <c r="R165" s="396">
        <f t="shared" si="18"/>
        <v>-25999505.70998</v>
      </c>
      <c r="S165" s="400" t="s">
        <v>5204</v>
      </c>
      <c r="AD165" t="s">
        <v>25</v>
      </c>
      <c r="AJ165" s="11">
        <v>145</v>
      </c>
      <c r="AK165" s="3" t="s">
        <v>4772</v>
      </c>
      <c r="AL165" s="3">
        <v>360000</v>
      </c>
      <c r="AM165" s="11">
        <v>1</v>
      </c>
      <c r="AN165" s="20">
        <f t="shared" si="23"/>
        <v>1036</v>
      </c>
      <c r="AO165" s="37">
        <f t="shared" si="24"/>
        <v>372960000</v>
      </c>
      <c r="AP165" s="20"/>
    </row>
    <row r="166" spans="1:45" ht="18.75">
      <c r="A166" s="496">
        <v>4007</v>
      </c>
      <c r="B166" s="497">
        <f>C49</f>
        <v>1037000</v>
      </c>
      <c r="C166" s="499">
        <f>B166*D49</f>
        <v>156587000</v>
      </c>
      <c r="D166" s="499"/>
      <c r="E166" s="498"/>
      <c r="F166" s="561"/>
      <c r="G166" s="2" t="s">
        <v>5563</v>
      </c>
      <c r="H166" s="3">
        <v>481318.88078800001</v>
      </c>
      <c r="M166" s="361" t="s">
        <v>4473</v>
      </c>
      <c r="N166" s="1">
        <v>19663646</v>
      </c>
      <c r="O166" s="374" t="s">
        <v>5202</v>
      </c>
      <c r="P166" s="374">
        <v>-33077</v>
      </c>
      <c r="Q166" s="18">
        <v>786.02973999999995</v>
      </c>
      <c r="R166" s="18">
        <f t="shared" si="18"/>
        <v>-25999505.70998</v>
      </c>
      <c r="S166" s="399" t="s">
        <v>5205</v>
      </c>
      <c r="AJ166" s="11">
        <v>146</v>
      </c>
      <c r="AK166" s="3" t="s">
        <v>4773</v>
      </c>
      <c r="AL166" s="3">
        <v>3000000</v>
      </c>
      <c r="AM166" s="11">
        <v>1</v>
      </c>
      <c r="AN166" s="20">
        <f t="shared" si="23"/>
        <v>1035</v>
      </c>
      <c r="AO166" s="37">
        <f t="shared" si="24"/>
        <v>3105000000</v>
      </c>
      <c r="AP166" s="20"/>
    </row>
    <row r="167" spans="1:45" ht="18.75">
      <c r="A167" s="496">
        <v>3012</v>
      </c>
      <c r="B167" s="497">
        <f>C25</f>
        <v>567000</v>
      </c>
      <c r="C167" s="499">
        <f>B167*D25</f>
        <v>102060000</v>
      </c>
      <c r="D167" s="499"/>
      <c r="E167" s="498"/>
      <c r="F167" s="561"/>
      <c r="G167" s="2" t="s">
        <v>5564</v>
      </c>
      <c r="H167" s="3">
        <v>146277.56820000001</v>
      </c>
      <c r="M167" s="361" t="s">
        <v>4484</v>
      </c>
      <c r="N167" s="1">
        <v>4374525</v>
      </c>
      <c r="O167" s="374" t="s">
        <v>5202</v>
      </c>
      <c r="P167" s="374">
        <v>1983</v>
      </c>
      <c r="Q167" s="18">
        <v>786.02973999999995</v>
      </c>
      <c r="R167" s="18">
        <f t="shared" si="18"/>
        <v>1558696.9744199999</v>
      </c>
      <c r="S167" s="399" t="s">
        <v>4976</v>
      </c>
      <c r="AA167" t="s">
        <v>25</v>
      </c>
      <c r="AJ167" s="11">
        <v>147</v>
      </c>
      <c r="AK167" s="3" t="s">
        <v>4771</v>
      </c>
      <c r="AL167" s="3">
        <v>-658226</v>
      </c>
      <c r="AM167" s="11">
        <v>1</v>
      </c>
      <c r="AN167" s="20">
        <f t="shared" si="23"/>
        <v>1034</v>
      </c>
      <c r="AO167" s="37">
        <f t="shared" si="24"/>
        <v>-680605684</v>
      </c>
      <c r="AP167" s="20"/>
    </row>
    <row r="168" spans="1:45" ht="18.75">
      <c r="A168" s="496">
        <v>3010</v>
      </c>
      <c r="B168" s="497">
        <f>C16+C26+C37+C50</f>
        <v>20097000</v>
      </c>
      <c r="C168" s="499">
        <f>B168*D50</f>
        <v>3034647000</v>
      </c>
      <c r="D168" s="499"/>
      <c r="E168" s="498"/>
      <c r="F168" s="561"/>
      <c r="G168" s="2" t="s">
        <v>5575</v>
      </c>
      <c r="H168" s="3">
        <v>424693.40162399999</v>
      </c>
      <c r="M168" s="361" t="s">
        <v>4486</v>
      </c>
      <c r="N168" s="1">
        <v>6550580</v>
      </c>
      <c r="O168" s="395" t="s">
        <v>5206</v>
      </c>
      <c r="P168" s="395">
        <v>-119753</v>
      </c>
      <c r="Q168" s="396">
        <v>800.81560000000002</v>
      </c>
      <c r="R168" s="396">
        <f t="shared" si="18"/>
        <v>-95900070.546800002</v>
      </c>
      <c r="S168" s="400" t="s">
        <v>5204</v>
      </c>
      <c r="AB168" t="s">
        <v>25</v>
      </c>
      <c r="AJ168" s="11">
        <v>148</v>
      </c>
      <c r="AK168" s="3" t="s">
        <v>4776</v>
      </c>
      <c r="AL168" s="3">
        <v>1000000</v>
      </c>
      <c r="AM168" s="11">
        <v>15</v>
      </c>
      <c r="AN168" s="20">
        <f t="shared" si="23"/>
        <v>1033</v>
      </c>
      <c r="AO168" s="37">
        <f t="shared" si="24"/>
        <v>1033000000</v>
      </c>
      <c r="AP168" s="20"/>
      <c r="AR168" t="s">
        <v>25</v>
      </c>
    </row>
    <row r="169" spans="1:45" ht="18.75">
      <c r="A169" s="496" t="s">
        <v>6944</v>
      </c>
      <c r="B169" s="550">
        <f>B1+B8+B18+B32+B41</f>
        <v>1045674145</v>
      </c>
      <c r="C169" s="550">
        <f>B169</f>
        <v>1045674145</v>
      </c>
      <c r="D169" s="499"/>
      <c r="E169" s="498"/>
      <c r="G169" s="2" t="s">
        <v>5578</v>
      </c>
      <c r="H169" s="3">
        <v>558320.40202399995</v>
      </c>
      <c r="M169" s="361" t="s">
        <v>4499</v>
      </c>
      <c r="N169" s="1">
        <v>7054895</v>
      </c>
      <c r="O169" s="374" t="s">
        <v>5206</v>
      </c>
      <c r="P169" s="374">
        <v>-119753</v>
      </c>
      <c r="Q169" s="18">
        <v>800.81560000000002</v>
      </c>
      <c r="R169" s="18">
        <f t="shared" si="18"/>
        <v>-95900070.546800002</v>
      </c>
      <c r="S169" s="399" t="s">
        <v>5205</v>
      </c>
      <c r="AB169" t="s">
        <v>25</v>
      </c>
      <c r="AJ169" s="11">
        <v>149</v>
      </c>
      <c r="AK169" s="3" t="s">
        <v>4799</v>
      </c>
      <c r="AL169" s="3">
        <v>1130250</v>
      </c>
      <c r="AM169" s="11">
        <v>5</v>
      </c>
      <c r="AN169" s="20">
        <f t="shared" si="21"/>
        <v>1018</v>
      </c>
      <c r="AO169" s="37">
        <f t="shared" si="22"/>
        <v>1150594500</v>
      </c>
      <c r="AP169" s="20"/>
    </row>
    <row r="170" spans="1:45" ht="18.75">
      <c r="A170" s="496"/>
      <c r="B170" s="496"/>
      <c r="C170" s="496"/>
      <c r="D170" s="499"/>
      <c r="E170" s="496"/>
      <c r="G170" s="2" t="s">
        <v>5579</v>
      </c>
      <c r="H170" s="3">
        <v>207642.22201140001</v>
      </c>
      <c r="M170" s="361" t="s">
        <v>4509</v>
      </c>
      <c r="N170" s="1">
        <v>2145814</v>
      </c>
      <c r="O170" s="374" t="s">
        <v>5206</v>
      </c>
      <c r="P170" s="374">
        <v>11291</v>
      </c>
      <c r="Q170" s="18">
        <v>800.81560000000002</v>
      </c>
      <c r="R170" s="18">
        <f t="shared" si="18"/>
        <v>9042008.9396000002</v>
      </c>
      <c r="S170" s="399" t="s">
        <v>422</v>
      </c>
      <c r="AG170" t="s">
        <v>25</v>
      </c>
      <c r="AJ170" s="11">
        <v>150</v>
      </c>
      <c r="AK170" s="3" t="s">
        <v>4805</v>
      </c>
      <c r="AL170" s="3">
        <v>206000</v>
      </c>
      <c r="AM170" s="11">
        <v>2</v>
      </c>
      <c r="AN170" s="20">
        <f t="shared" si="21"/>
        <v>1013</v>
      </c>
      <c r="AO170" s="37">
        <f t="shared" si="22"/>
        <v>208678000</v>
      </c>
      <c r="AP170" s="20"/>
    </row>
    <row r="171" spans="1:45" ht="18.75">
      <c r="A171" s="496" t="s">
        <v>4780</v>
      </c>
      <c r="B171" s="496"/>
      <c r="C171" s="550" t="e">
        <f>SUM(C155:C169)</f>
        <v>#REF!</v>
      </c>
      <c r="D171" s="499"/>
      <c r="E171" s="498"/>
      <c r="G171" s="200" t="s">
        <v>5609</v>
      </c>
      <c r="H171" s="64">
        <v>637977.33504399995</v>
      </c>
      <c r="M171" s="361" t="s">
        <v>4511</v>
      </c>
      <c r="N171" s="1">
        <v>4369730</v>
      </c>
      <c r="O171" s="189" t="s">
        <v>5207</v>
      </c>
      <c r="P171" s="189">
        <v>-35361</v>
      </c>
      <c r="Q171" s="190">
        <v>818.697</v>
      </c>
      <c r="R171" s="190">
        <f t="shared" si="18"/>
        <v>-28949944.616999999</v>
      </c>
      <c r="S171" s="398" t="s">
        <v>5204</v>
      </c>
      <c r="AC171" t="s">
        <v>25</v>
      </c>
      <c r="AJ171" s="11">
        <v>151</v>
      </c>
      <c r="AK171" s="3" t="s">
        <v>4812</v>
      </c>
      <c r="AL171" s="3">
        <v>50000</v>
      </c>
      <c r="AM171" s="11">
        <v>2</v>
      </c>
      <c r="AN171" s="20">
        <f t="shared" si="21"/>
        <v>1011</v>
      </c>
      <c r="AO171" s="37">
        <f t="shared" si="22"/>
        <v>50550000</v>
      </c>
      <c r="AP171" s="20"/>
    </row>
    <row r="172" spans="1:45">
      <c r="G172" s="2" t="s">
        <v>5610</v>
      </c>
      <c r="H172" s="3">
        <v>466552.25632400002</v>
      </c>
      <c r="M172" s="361" t="s">
        <v>4520</v>
      </c>
      <c r="N172" s="1">
        <v>8739459</v>
      </c>
      <c r="O172" s="374" t="s">
        <v>5207</v>
      </c>
      <c r="P172" s="374">
        <v>-35361</v>
      </c>
      <c r="Q172" s="18">
        <v>818.697</v>
      </c>
      <c r="R172" s="18">
        <f t="shared" si="18"/>
        <v>-28949944.616999999</v>
      </c>
      <c r="S172" s="399" t="s">
        <v>5205</v>
      </c>
      <c r="AA172" t="s">
        <v>25</v>
      </c>
      <c r="AJ172" s="11">
        <v>152</v>
      </c>
      <c r="AK172" s="3" t="s">
        <v>4816</v>
      </c>
      <c r="AL172" s="3">
        <v>105000</v>
      </c>
      <c r="AM172" s="11">
        <v>4</v>
      </c>
      <c r="AN172" s="20">
        <f t="shared" si="21"/>
        <v>1009</v>
      </c>
      <c r="AO172" s="37">
        <f t="shared" si="22"/>
        <v>105945000</v>
      </c>
      <c r="AP172" s="20"/>
    </row>
    <row r="173" spans="1:45">
      <c r="E173" t="s">
        <v>25</v>
      </c>
      <c r="G173" s="2" t="s">
        <v>5611</v>
      </c>
      <c r="H173" s="3">
        <v>189134.85153000001</v>
      </c>
      <c r="M173" s="361" t="s">
        <v>3599</v>
      </c>
      <c r="N173" s="1">
        <v>6667654</v>
      </c>
      <c r="O173" s="374" t="s">
        <v>5207</v>
      </c>
      <c r="P173" s="374">
        <v>116</v>
      </c>
      <c r="Q173" s="18">
        <v>818.697</v>
      </c>
      <c r="R173" s="18">
        <f t="shared" si="18"/>
        <v>94968.851999999999</v>
      </c>
      <c r="S173" s="399" t="s">
        <v>4976</v>
      </c>
      <c r="AA173" t="s">
        <v>25</v>
      </c>
      <c r="AJ173" s="11">
        <v>153</v>
      </c>
      <c r="AK173" s="3" t="s">
        <v>4820</v>
      </c>
      <c r="AL173" s="3">
        <v>5000000</v>
      </c>
      <c r="AM173" s="11">
        <v>1</v>
      </c>
      <c r="AN173" s="20">
        <f t="shared" si="21"/>
        <v>1005</v>
      </c>
      <c r="AO173" s="37">
        <f t="shared" si="22"/>
        <v>5025000000</v>
      </c>
      <c r="AP173" s="20"/>
    </row>
    <row r="174" spans="1:45">
      <c r="G174" s="2" t="s">
        <v>5613</v>
      </c>
      <c r="H174" s="3">
        <v>564888.82799599995</v>
      </c>
      <c r="M174" s="361" t="s">
        <v>4531</v>
      </c>
      <c r="N174" s="1">
        <v>8981245</v>
      </c>
      <c r="O174" s="374" t="s">
        <v>5211</v>
      </c>
      <c r="P174" s="374">
        <v>48633</v>
      </c>
      <c r="Q174" s="18">
        <v>822.47199999999998</v>
      </c>
      <c r="R174" s="18">
        <f t="shared" si="18"/>
        <v>39999280.776000001</v>
      </c>
      <c r="S174" s="399" t="s">
        <v>5214</v>
      </c>
      <c r="AB174" t="s">
        <v>25</v>
      </c>
      <c r="AJ174" s="11">
        <v>154</v>
      </c>
      <c r="AK174" s="3" t="s">
        <v>4821</v>
      </c>
      <c r="AL174" s="3">
        <v>2500000</v>
      </c>
      <c r="AM174" s="11">
        <v>2</v>
      </c>
      <c r="AN174" s="20">
        <f t="shared" si="21"/>
        <v>1004</v>
      </c>
      <c r="AO174" s="37">
        <f t="shared" si="22"/>
        <v>2510000000</v>
      </c>
      <c r="AP174" s="20"/>
    </row>
    <row r="175" spans="1:45">
      <c r="E175" t="s">
        <v>25</v>
      </c>
      <c r="G175" s="2" t="s">
        <v>5638</v>
      </c>
      <c r="H175" s="3">
        <v>259993.58394100002</v>
      </c>
      <c r="M175" s="361" t="s">
        <v>4533</v>
      </c>
      <c r="N175" s="1">
        <v>9181756</v>
      </c>
      <c r="O175" s="374" t="s">
        <v>5211</v>
      </c>
      <c r="P175" s="374">
        <v>3412</v>
      </c>
      <c r="Q175" s="18">
        <v>822.47199999999998</v>
      </c>
      <c r="R175" s="18">
        <f t="shared" si="18"/>
        <v>2806274.4640000002</v>
      </c>
      <c r="S175" s="399" t="s">
        <v>5216</v>
      </c>
      <c r="AJ175" s="178">
        <v>155</v>
      </c>
      <c r="AK175" s="174" t="s">
        <v>4827</v>
      </c>
      <c r="AL175" s="174">
        <v>-50000000</v>
      </c>
      <c r="AM175" s="178">
        <v>7</v>
      </c>
      <c r="AN175" s="178">
        <f t="shared" si="21"/>
        <v>1002</v>
      </c>
      <c r="AO175" s="174">
        <f t="shared" si="22"/>
        <v>-50100000000</v>
      </c>
      <c r="AP175" s="178" t="s">
        <v>4835</v>
      </c>
    </row>
    <row r="176" spans="1:45">
      <c r="E176" s="71" t="s">
        <v>25</v>
      </c>
      <c r="G176" s="2" t="s">
        <v>5639</v>
      </c>
      <c r="H176" s="3">
        <v>269955.31205999997</v>
      </c>
      <c r="M176" s="361" t="s">
        <v>4545</v>
      </c>
      <c r="N176" s="1">
        <v>11811208</v>
      </c>
      <c r="O176" s="374" t="s">
        <v>5212</v>
      </c>
      <c r="P176" s="374">
        <v>1531</v>
      </c>
      <c r="Q176" s="18">
        <v>869.82500000000005</v>
      </c>
      <c r="R176" s="18">
        <f t="shared" si="18"/>
        <v>1331702.075</v>
      </c>
      <c r="S176" s="399" t="s">
        <v>5217</v>
      </c>
      <c r="AJ176" s="11">
        <v>156</v>
      </c>
      <c r="AK176" s="3" t="s">
        <v>4833</v>
      </c>
      <c r="AL176" s="3">
        <v>10000000</v>
      </c>
      <c r="AM176" s="11">
        <v>12</v>
      </c>
      <c r="AN176" s="20">
        <f t="shared" si="21"/>
        <v>995</v>
      </c>
      <c r="AO176" s="37">
        <f t="shared" si="22"/>
        <v>9950000000</v>
      </c>
      <c r="AP176" s="20" t="s">
        <v>4559</v>
      </c>
    </row>
    <row r="177" spans="5:45">
      <c r="E177" t="s">
        <v>25</v>
      </c>
      <c r="G177" s="2" t="s">
        <v>5991</v>
      </c>
      <c r="H177" s="3">
        <v>560534.38387200003</v>
      </c>
      <c r="M177" s="361" t="s">
        <v>4552</v>
      </c>
      <c r="N177" s="1">
        <v>41248054</v>
      </c>
      <c r="O177" s="374" t="s">
        <v>5220</v>
      </c>
      <c r="P177" s="374">
        <v>1019</v>
      </c>
      <c r="Q177" s="18">
        <v>835.36580000000004</v>
      </c>
      <c r="R177" s="18">
        <f t="shared" si="18"/>
        <v>851237.75020000001</v>
      </c>
      <c r="S177" s="399" t="s">
        <v>422</v>
      </c>
      <c r="AJ177" s="11">
        <v>157</v>
      </c>
      <c r="AK177" s="3" t="s">
        <v>4840</v>
      </c>
      <c r="AL177" s="3">
        <v>-16266000</v>
      </c>
      <c r="AM177" s="11">
        <v>1</v>
      </c>
      <c r="AN177" s="20">
        <f t="shared" si="21"/>
        <v>983</v>
      </c>
      <c r="AO177" s="37">
        <f t="shared" si="22"/>
        <v>-15989478000</v>
      </c>
      <c r="AP177" s="20" t="s">
        <v>4848</v>
      </c>
      <c r="AS177" t="s">
        <v>25</v>
      </c>
    </row>
    <row r="178" spans="5:45">
      <c r="G178" s="2" t="s">
        <v>5993</v>
      </c>
      <c r="H178" s="3">
        <v>581484.96802499995</v>
      </c>
      <c r="M178" s="361" t="s">
        <v>4558</v>
      </c>
      <c r="N178" s="1">
        <v>37328780</v>
      </c>
      <c r="O178" s="189" t="s">
        <v>5224</v>
      </c>
      <c r="P178" s="189">
        <v>2316</v>
      </c>
      <c r="Q178" s="190">
        <v>818.697</v>
      </c>
      <c r="R178" s="190">
        <f t="shared" si="18"/>
        <v>1896102.2520000001</v>
      </c>
      <c r="S178" s="398" t="s">
        <v>5227</v>
      </c>
      <c r="AJ178" s="11">
        <v>158</v>
      </c>
      <c r="AK178" s="3" t="s">
        <v>4849</v>
      </c>
      <c r="AL178" s="3">
        <v>1000000</v>
      </c>
      <c r="AM178" s="11">
        <v>6</v>
      </c>
      <c r="AN178" s="20">
        <f>AN179+AM178</f>
        <v>982</v>
      </c>
      <c r="AO178" s="37">
        <f>AL178*AN178</f>
        <v>982000000</v>
      </c>
      <c r="AP178" s="20"/>
    </row>
    <row r="179" spans="5:45">
      <c r="G179" s="2" t="s">
        <v>5995</v>
      </c>
      <c r="H179" s="3">
        <v>2136964.3409779998</v>
      </c>
      <c r="M179" s="361" t="s">
        <v>4613</v>
      </c>
      <c r="N179" s="1">
        <v>50000000</v>
      </c>
      <c r="O179" s="374" t="s">
        <v>5230</v>
      </c>
      <c r="P179" s="374">
        <v>315</v>
      </c>
      <c r="Q179" s="18">
        <v>680</v>
      </c>
      <c r="R179" s="18">
        <f t="shared" si="18"/>
        <v>214200</v>
      </c>
      <c r="S179" s="399" t="s">
        <v>4976</v>
      </c>
      <c r="AJ179" s="11">
        <v>159</v>
      </c>
      <c r="AK179" s="3" t="s">
        <v>4857</v>
      </c>
      <c r="AL179" s="3">
        <v>40000</v>
      </c>
      <c r="AM179" s="11">
        <v>5</v>
      </c>
      <c r="AN179" s="20">
        <f>AN180+AM179</f>
        <v>976</v>
      </c>
      <c r="AO179" s="37">
        <f>AL179*AN179</f>
        <v>39040000</v>
      </c>
      <c r="AP179" s="20"/>
    </row>
    <row r="180" spans="5:45">
      <c r="G180" s="2" t="s">
        <v>5998</v>
      </c>
      <c r="H180" s="3">
        <v>593783.22629999998</v>
      </c>
      <c r="M180" s="361" t="s">
        <v>4622</v>
      </c>
      <c r="N180" s="1">
        <v>68656</v>
      </c>
      <c r="O180" s="374" t="s">
        <v>5252</v>
      </c>
      <c r="P180" s="374">
        <v>832</v>
      </c>
      <c r="Q180" s="18">
        <v>784.36500000000001</v>
      </c>
      <c r="R180" s="18">
        <f t="shared" si="18"/>
        <v>652591.68000000005</v>
      </c>
      <c r="S180" s="399" t="s">
        <v>4976</v>
      </c>
      <c r="AJ180" s="11">
        <v>160</v>
      </c>
      <c r="AK180" s="3" t="s">
        <v>4865</v>
      </c>
      <c r="AL180" s="3">
        <v>120000</v>
      </c>
      <c r="AM180" s="11">
        <v>6</v>
      </c>
      <c r="AN180" s="20">
        <f>AN181+AM180</f>
        <v>971</v>
      </c>
      <c r="AO180" s="37">
        <f>AL180*AN180</f>
        <v>116520000</v>
      </c>
      <c r="AP180" s="20"/>
    </row>
    <row r="181" spans="5:45">
      <c r="G181" s="2" t="s">
        <v>6002</v>
      </c>
      <c r="H181" s="3">
        <v>469469.96222000004</v>
      </c>
      <c r="M181" s="361" t="s">
        <v>4622</v>
      </c>
      <c r="N181" s="1">
        <v>4000236</v>
      </c>
      <c r="O181" s="374" t="s">
        <v>5293</v>
      </c>
      <c r="P181" s="374">
        <v>382</v>
      </c>
      <c r="Q181" s="18">
        <v>1450.6065000000001</v>
      </c>
      <c r="R181" s="18">
        <f t="shared" si="18"/>
        <v>554131.68300000008</v>
      </c>
      <c r="S181" s="399" t="s">
        <v>4976</v>
      </c>
      <c r="AA181" t="s">
        <v>25</v>
      </c>
      <c r="AJ181" s="11">
        <v>161</v>
      </c>
      <c r="AK181" s="3" t="s">
        <v>4862</v>
      </c>
      <c r="AL181" s="3">
        <v>249000</v>
      </c>
      <c r="AM181" s="11">
        <v>9</v>
      </c>
      <c r="AN181" s="20">
        <f>AN182+AM181</f>
        <v>965</v>
      </c>
      <c r="AO181" s="37">
        <f>AL181*AN181</f>
        <v>240285000</v>
      </c>
      <c r="AP181" s="20"/>
    </row>
    <row r="182" spans="5:45">
      <c r="G182" s="2" t="s">
        <v>6032</v>
      </c>
      <c r="H182" s="3">
        <v>15777944</v>
      </c>
      <c r="M182" s="361" t="s">
        <v>4627</v>
      </c>
      <c r="N182" s="1">
        <v>2250000</v>
      </c>
      <c r="O182" s="374" t="s">
        <v>5294</v>
      </c>
      <c r="P182" s="374">
        <v>50047</v>
      </c>
      <c r="Q182" s="18">
        <v>1406.14</v>
      </c>
      <c r="R182" s="18">
        <f t="shared" si="18"/>
        <v>70373088.579999998</v>
      </c>
      <c r="S182" s="399" t="s">
        <v>4976</v>
      </c>
      <c r="AA182" t="s">
        <v>25</v>
      </c>
      <c r="AJ182" s="11">
        <v>162</v>
      </c>
      <c r="AK182" s="3" t="s">
        <v>4886</v>
      </c>
      <c r="AL182" s="3">
        <v>65000</v>
      </c>
      <c r="AM182" s="11">
        <v>7</v>
      </c>
      <c r="AN182" s="20">
        <f>AN183+AM182</f>
        <v>956</v>
      </c>
      <c r="AO182" s="37">
        <f>AL182*AN182</f>
        <v>62140000</v>
      </c>
      <c r="AP182" s="20"/>
    </row>
    <row r="183" spans="5:45">
      <c r="G183" s="2" t="s">
        <v>6039</v>
      </c>
      <c r="H183" s="3">
        <v>3585319.2317280001</v>
      </c>
      <c r="M183" s="361" t="s">
        <v>4636</v>
      </c>
      <c r="N183" s="1">
        <v>-2512200</v>
      </c>
      <c r="O183" s="374" t="s">
        <v>5295</v>
      </c>
      <c r="P183" s="374">
        <v>846</v>
      </c>
      <c r="Q183" s="18">
        <v>1441.6724569999999</v>
      </c>
      <c r="R183" s="18">
        <f t="shared" si="18"/>
        <v>1219654.8986219999</v>
      </c>
      <c r="S183" s="399" t="s">
        <v>4976</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5:45">
      <c r="G184" s="2" t="s">
        <v>6042</v>
      </c>
      <c r="H184" s="3">
        <v>676700.69889600005</v>
      </c>
      <c r="M184" s="361" t="s">
        <v>901</v>
      </c>
      <c r="N184" s="1">
        <v>300000</v>
      </c>
      <c r="O184" s="374" t="s">
        <v>5296</v>
      </c>
      <c r="P184" s="374">
        <v>10573</v>
      </c>
      <c r="Q184" s="18">
        <v>1451.825</v>
      </c>
      <c r="R184" s="18">
        <f t="shared" si="18"/>
        <v>15350145.725</v>
      </c>
      <c r="S184" s="399" t="s">
        <v>4976</v>
      </c>
      <c r="AA184" t="s">
        <v>25</v>
      </c>
      <c r="AD184" t="s">
        <v>25</v>
      </c>
      <c r="AJ184" s="11">
        <v>164</v>
      </c>
      <c r="AK184" s="3" t="s">
        <v>4895</v>
      </c>
      <c r="AL184" s="3">
        <v>50000</v>
      </c>
      <c r="AM184" s="11">
        <v>6</v>
      </c>
      <c r="AN184" s="20">
        <f t="shared" si="25"/>
        <v>949</v>
      </c>
      <c r="AO184" s="37">
        <f t="shared" si="26"/>
        <v>47450000</v>
      </c>
      <c r="AP184" s="20"/>
    </row>
    <row r="185" spans="5:45">
      <c r="G185" s="2" t="s">
        <v>6048</v>
      </c>
      <c r="H185" s="3">
        <v>1105777.5430340001</v>
      </c>
      <c r="M185" s="361" t="s">
        <v>4642</v>
      </c>
      <c r="N185" s="1">
        <v>1100000</v>
      </c>
      <c r="O185" s="374" t="s">
        <v>5297</v>
      </c>
      <c r="P185" s="374">
        <v>85</v>
      </c>
      <c r="Q185" s="18">
        <v>1423.74</v>
      </c>
      <c r="R185" s="18">
        <f t="shared" si="18"/>
        <v>121017.9</v>
      </c>
      <c r="S185" s="399" t="s">
        <v>5298</v>
      </c>
      <c r="AA185" t="s">
        <v>25</v>
      </c>
      <c r="AJ185" s="11">
        <v>165</v>
      </c>
      <c r="AK185" s="3" t="s">
        <v>4905</v>
      </c>
      <c r="AL185" s="3">
        <v>-200000</v>
      </c>
      <c r="AM185" s="11">
        <v>0</v>
      </c>
      <c r="AN185" s="20">
        <f t="shared" si="25"/>
        <v>943</v>
      </c>
      <c r="AO185" s="37">
        <f t="shared" si="26"/>
        <v>-188600000</v>
      </c>
      <c r="AP185" s="20" t="s">
        <v>4906</v>
      </c>
    </row>
    <row r="186" spans="5:45">
      <c r="G186" s="2" t="s">
        <v>6050</v>
      </c>
      <c r="H186" s="3">
        <v>2315234.8602510002</v>
      </c>
      <c r="M186" s="361" t="s">
        <v>4661</v>
      </c>
      <c r="N186" s="1">
        <v>890000</v>
      </c>
      <c r="O186" s="374" t="s">
        <v>5301</v>
      </c>
      <c r="P186" s="374">
        <v>738</v>
      </c>
      <c r="Q186" s="18">
        <v>1388.87895</v>
      </c>
      <c r="R186" s="18">
        <f t="shared" si="18"/>
        <v>1024992.6651</v>
      </c>
      <c r="S186" s="399" t="s">
        <v>5305</v>
      </c>
      <c r="AA186" t="s">
        <v>25</v>
      </c>
      <c r="AJ186" s="11">
        <v>166</v>
      </c>
      <c r="AK186" s="3" t="s">
        <v>4905</v>
      </c>
      <c r="AL186" s="3">
        <v>200000</v>
      </c>
      <c r="AM186" s="11">
        <v>3</v>
      </c>
      <c r="AN186" s="20">
        <f t="shared" si="25"/>
        <v>943</v>
      </c>
      <c r="AO186" s="37">
        <f t="shared" si="26"/>
        <v>188600000</v>
      </c>
      <c r="AP186" s="20"/>
      <c r="AS186" t="s">
        <v>25</v>
      </c>
    </row>
    <row r="187" spans="5:45">
      <c r="G187" s="2" t="s">
        <v>6051</v>
      </c>
      <c r="H187" s="3">
        <v>4136360.6541840001</v>
      </c>
      <c r="M187" s="361" t="s">
        <v>4662</v>
      </c>
      <c r="N187" s="1">
        <v>1000000</v>
      </c>
      <c r="O187" s="374" t="s">
        <v>5306</v>
      </c>
      <c r="P187" s="374">
        <v>1442</v>
      </c>
      <c r="Q187" s="18">
        <v>1350.9547279999999</v>
      </c>
      <c r="R187" s="18">
        <f t="shared" si="18"/>
        <v>1948076.7177759998</v>
      </c>
      <c r="S187" s="399" t="s">
        <v>4976</v>
      </c>
      <c r="AA187" t="s">
        <v>25</v>
      </c>
      <c r="AJ187" s="11">
        <v>167</v>
      </c>
      <c r="AK187" s="3" t="s">
        <v>4912</v>
      </c>
      <c r="AL187" s="3">
        <v>200000</v>
      </c>
      <c r="AM187" s="11">
        <v>3</v>
      </c>
      <c r="AN187" s="20">
        <f t="shared" si="25"/>
        <v>940</v>
      </c>
      <c r="AO187" s="37">
        <f t="shared" si="26"/>
        <v>188000000</v>
      </c>
      <c r="AP187" s="20"/>
    </row>
    <row r="188" spans="5:45">
      <c r="G188" s="2" t="s">
        <v>6052</v>
      </c>
      <c r="H188" s="3">
        <v>3035714.4702960001</v>
      </c>
      <c r="M188" s="361" t="s">
        <v>4662</v>
      </c>
      <c r="N188" s="1">
        <v>45436311</v>
      </c>
      <c r="O188" s="374" t="s">
        <v>5307</v>
      </c>
      <c r="P188" s="374">
        <v>36847</v>
      </c>
      <c r="Q188" s="18">
        <v>1356.9658300000001</v>
      </c>
      <c r="R188" s="18">
        <f t="shared" si="18"/>
        <v>50000119.938010007</v>
      </c>
      <c r="S188" s="399" t="s">
        <v>4981</v>
      </c>
      <c r="AJ188" s="11">
        <v>168</v>
      </c>
      <c r="AK188" s="3" t="s">
        <v>4915</v>
      </c>
      <c r="AL188" s="3">
        <v>30000</v>
      </c>
      <c r="AM188" s="11">
        <v>7</v>
      </c>
      <c r="AN188" s="20">
        <f t="shared" si="25"/>
        <v>937</v>
      </c>
      <c r="AO188" s="37">
        <f t="shared" si="26"/>
        <v>28110000</v>
      </c>
      <c r="AP188" s="20"/>
    </row>
    <row r="189" spans="5:45">
      <c r="G189" s="2" t="s">
        <v>6058</v>
      </c>
      <c r="H189" s="3">
        <v>93814</v>
      </c>
      <c r="M189" s="361" t="s">
        <v>4674</v>
      </c>
      <c r="N189" s="1">
        <v>-3500000</v>
      </c>
      <c r="O189" s="374" t="s">
        <v>5308</v>
      </c>
      <c r="P189" s="374">
        <v>13738</v>
      </c>
      <c r="Q189" s="18">
        <v>1455.82</v>
      </c>
      <c r="R189" s="18">
        <f t="shared" si="18"/>
        <v>20000055.16</v>
      </c>
      <c r="S189" s="399" t="s">
        <v>5315</v>
      </c>
      <c r="AJ189" s="11">
        <v>169</v>
      </c>
      <c r="AK189" s="3" t="s">
        <v>4874</v>
      </c>
      <c r="AL189" s="3">
        <v>-10000000</v>
      </c>
      <c r="AM189" s="11">
        <v>0</v>
      </c>
      <c r="AN189" s="20">
        <f t="shared" si="25"/>
        <v>930</v>
      </c>
      <c r="AO189" s="37">
        <f t="shared" si="26"/>
        <v>-9300000000</v>
      </c>
      <c r="AP189" s="20" t="s">
        <v>4835</v>
      </c>
    </row>
    <row r="190" spans="5:45">
      <c r="G190" s="2" t="s">
        <v>6061</v>
      </c>
      <c r="H190" s="3">
        <v>345069.28943499998</v>
      </c>
      <c r="M190" s="361" t="s">
        <v>4709</v>
      </c>
      <c r="N190" s="1">
        <v>2520000</v>
      </c>
      <c r="O190" s="374" t="s">
        <v>5322</v>
      </c>
      <c r="P190" s="374">
        <v>3100</v>
      </c>
      <c r="Q190" s="18">
        <v>1853.4507470000001</v>
      </c>
      <c r="R190" s="18">
        <f t="shared" si="18"/>
        <v>5745697.3157000002</v>
      </c>
      <c r="S190" s="399" t="s">
        <v>4976</v>
      </c>
      <c r="AA190" t="s">
        <v>25</v>
      </c>
      <c r="AJ190" s="11">
        <v>170</v>
      </c>
      <c r="AK190" s="3" t="s">
        <v>4874</v>
      </c>
      <c r="AL190" s="3">
        <v>6000000</v>
      </c>
      <c r="AM190" s="11">
        <v>8</v>
      </c>
      <c r="AN190" s="20">
        <f t="shared" si="25"/>
        <v>930</v>
      </c>
      <c r="AO190" s="37">
        <f t="shared" si="26"/>
        <v>5580000000</v>
      </c>
      <c r="AP190" s="20"/>
      <c r="AR190" t="s">
        <v>25</v>
      </c>
    </row>
    <row r="191" spans="5:45">
      <c r="G191" s="2" t="s">
        <v>6150</v>
      </c>
      <c r="H191" s="3">
        <v>567785.37859199999</v>
      </c>
      <c r="M191" s="361" t="s">
        <v>4721</v>
      </c>
      <c r="N191" s="1">
        <v>4900000</v>
      </c>
      <c r="O191" s="374" t="s">
        <v>5323</v>
      </c>
      <c r="P191" s="374">
        <v>480</v>
      </c>
      <c r="Q191" s="18">
        <v>1891.9962069999999</v>
      </c>
      <c r="R191" s="18">
        <f t="shared" si="18"/>
        <v>908158.17935999995</v>
      </c>
      <c r="S191" s="399" t="s">
        <v>4976</v>
      </c>
      <c r="AA191" t="s">
        <v>25</v>
      </c>
      <c r="AJ191" s="11">
        <v>171</v>
      </c>
      <c r="AK191" s="3" t="s">
        <v>4939</v>
      </c>
      <c r="AL191" s="3">
        <v>150000</v>
      </c>
      <c r="AM191" s="11">
        <v>7</v>
      </c>
      <c r="AN191" s="20">
        <f>AN192+AM191</f>
        <v>922</v>
      </c>
      <c r="AO191" s="37">
        <f>AL191*AN191</f>
        <v>138300000</v>
      </c>
      <c r="AP191" s="20"/>
    </row>
    <row r="192" spans="5:45">
      <c r="G192" s="2" t="s">
        <v>6156</v>
      </c>
      <c r="H192" s="3">
        <v>189683.91675</v>
      </c>
      <c r="M192" s="361" t="s">
        <v>4681</v>
      </c>
      <c r="N192" s="1">
        <v>1150000</v>
      </c>
      <c r="O192" s="374" t="s">
        <v>5324</v>
      </c>
      <c r="P192" s="374">
        <v>6522</v>
      </c>
      <c r="Q192" s="18">
        <v>1938.4694340000001</v>
      </c>
      <c r="R192" s="18">
        <f t="shared" si="18"/>
        <v>12642697.648548001</v>
      </c>
      <c r="S192" s="399" t="s">
        <v>4976</v>
      </c>
      <c r="AA192" t="s">
        <v>25</v>
      </c>
      <c r="AJ192" s="11">
        <v>172</v>
      </c>
      <c r="AK192" s="3" t="s">
        <v>4972</v>
      </c>
      <c r="AL192" s="3">
        <v>400000</v>
      </c>
      <c r="AM192" s="11">
        <v>1</v>
      </c>
      <c r="AN192" s="20">
        <f>AN193+AM192</f>
        <v>915</v>
      </c>
      <c r="AO192" s="37">
        <f>AL192*AN192</f>
        <v>366000000</v>
      </c>
      <c r="AP192" s="20"/>
    </row>
    <row r="193" spans="5:47">
      <c r="G193" s="2" t="s">
        <v>6157</v>
      </c>
      <c r="H193" s="3">
        <v>519135.75707200001</v>
      </c>
      <c r="M193" s="361" t="s">
        <v>4752</v>
      </c>
      <c r="N193" s="1">
        <v>250000</v>
      </c>
      <c r="O193" s="374" t="s">
        <v>5325</v>
      </c>
      <c r="P193" s="374">
        <v>6197</v>
      </c>
      <c r="Q193" s="18">
        <v>1984.3985499999999</v>
      </c>
      <c r="R193" s="18">
        <f t="shared" si="18"/>
        <v>12297317.81435</v>
      </c>
      <c r="S193" s="399" t="s">
        <v>4976</v>
      </c>
      <c r="AJ193" s="11">
        <v>173</v>
      </c>
      <c r="AK193" s="3" t="s">
        <v>4975</v>
      </c>
      <c r="AL193" s="3">
        <v>-100000</v>
      </c>
      <c r="AM193" s="11">
        <v>1</v>
      </c>
      <c r="AN193" s="20">
        <f>AN194+AM193</f>
        <v>914</v>
      </c>
      <c r="AO193" s="37">
        <f>AL193*AN193</f>
        <v>-91400000</v>
      </c>
      <c r="AP193" s="20"/>
    </row>
    <row r="194" spans="5:47">
      <c r="G194" s="2" t="s">
        <v>6163</v>
      </c>
      <c r="H194" s="3">
        <v>3406413.9029760002</v>
      </c>
      <c r="M194" s="361" t="s">
        <v>4755</v>
      </c>
      <c r="N194" s="1">
        <v>1403460</v>
      </c>
      <c r="O194" s="374" t="s">
        <v>5326</v>
      </c>
      <c r="P194" s="374">
        <v>4646</v>
      </c>
      <c r="Q194" s="18">
        <v>1928.464023</v>
      </c>
      <c r="R194" s="18">
        <f t="shared" si="18"/>
        <v>8959643.8508579992</v>
      </c>
      <c r="S194" s="399" t="s">
        <v>4976</v>
      </c>
      <c r="AJ194" s="11">
        <v>174</v>
      </c>
      <c r="AK194" s="3" t="s">
        <v>4979</v>
      </c>
      <c r="AL194" s="3">
        <v>10000000</v>
      </c>
      <c r="AM194" s="11">
        <v>1</v>
      </c>
      <c r="AN194" s="20">
        <f>AN195+AM194</f>
        <v>913</v>
      </c>
      <c r="AO194" s="37">
        <f>AL194*AN194</f>
        <v>9130000000</v>
      </c>
      <c r="AP194" s="20" t="s">
        <v>4559</v>
      </c>
      <c r="AU194" t="s">
        <v>25</v>
      </c>
    </row>
    <row r="195" spans="5:47">
      <c r="G195" s="235" t="s">
        <v>6164</v>
      </c>
      <c r="H195" s="54">
        <v>435036.348168</v>
      </c>
      <c r="M195" s="361" t="s">
        <v>4760</v>
      </c>
      <c r="N195" s="1">
        <v>200000</v>
      </c>
      <c r="O195" s="374" t="s">
        <v>5327</v>
      </c>
      <c r="P195" s="374">
        <v>7668</v>
      </c>
      <c r="Q195" s="18">
        <v>1976.2774959999999</v>
      </c>
      <c r="R195" s="18">
        <f t="shared" si="18"/>
        <v>15154095.839328</v>
      </c>
      <c r="S195" s="399" t="s">
        <v>4976</v>
      </c>
      <c r="AJ195" s="11">
        <v>175</v>
      </c>
      <c r="AK195" s="3" t="s">
        <v>4984</v>
      </c>
      <c r="AL195" s="3">
        <v>-400000</v>
      </c>
      <c r="AM195" s="11">
        <v>6</v>
      </c>
      <c r="AN195" s="20">
        <f t="shared" ref="AN195:AN203" si="27">AN196+AM195</f>
        <v>912</v>
      </c>
      <c r="AO195" s="37">
        <f t="shared" ref="AO195:AO203" si="28">AL195*AN195</f>
        <v>-364800000</v>
      </c>
      <c r="AP195" s="20"/>
    </row>
    <row r="196" spans="5:47">
      <c r="G196" s="2" t="s">
        <v>6184</v>
      </c>
      <c r="H196" s="3">
        <v>2321535.4633200001</v>
      </c>
      <c r="M196" s="361" t="s">
        <v>4765</v>
      </c>
      <c r="N196" s="1">
        <v>345000</v>
      </c>
      <c r="O196" s="374" t="s">
        <v>5334</v>
      </c>
      <c r="P196" s="374">
        <v>-43325</v>
      </c>
      <c r="Q196" s="18">
        <v>2146.5548840000001</v>
      </c>
      <c r="R196" s="18">
        <f t="shared" si="18"/>
        <v>-92999490.349300012</v>
      </c>
      <c r="S196" s="399" t="s">
        <v>5335</v>
      </c>
      <c r="AJ196" s="11">
        <v>176</v>
      </c>
      <c r="AK196" s="3" t="s">
        <v>4991</v>
      </c>
      <c r="AL196" s="3">
        <v>1300000</v>
      </c>
      <c r="AM196" s="11">
        <v>0</v>
      </c>
      <c r="AN196" s="20">
        <f t="shared" si="27"/>
        <v>906</v>
      </c>
      <c r="AO196" s="37">
        <f t="shared" si="28"/>
        <v>1177800000</v>
      </c>
      <c r="AP196" s="20"/>
      <c r="AT196" t="s">
        <v>25</v>
      </c>
    </row>
    <row r="197" spans="5:47">
      <c r="G197" s="2" t="s">
        <v>6465</v>
      </c>
      <c r="H197" s="3">
        <v>1098146.8035800001</v>
      </c>
      <c r="M197" s="361" t="s">
        <v>4768</v>
      </c>
      <c r="N197" s="1">
        <v>900000</v>
      </c>
      <c r="O197" s="374" t="s">
        <v>5342</v>
      </c>
      <c r="P197" s="374">
        <v>20888</v>
      </c>
      <c r="Q197" s="18">
        <v>2428.4521530000002</v>
      </c>
      <c r="R197" s="18">
        <f t="shared" si="18"/>
        <v>50725508.571864001</v>
      </c>
      <c r="S197" s="399" t="s">
        <v>4976</v>
      </c>
      <c r="AA197" t="s">
        <v>25</v>
      </c>
      <c r="AB197" t="s">
        <v>25</v>
      </c>
      <c r="AJ197" s="11">
        <v>177</v>
      </c>
      <c r="AK197" s="3" t="s">
        <v>4991</v>
      </c>
      <c r="AL197" s="3">
        <v>230000</v>
      </c>
      <c r="AM197" s="11">
        <v>1</v>
      </c>
      <c r="AN197" s="20">
        <f t="shared" si="27"/>
        <v>906</v>
      </c>
      <c r="AO197" s="37">
        <f t="shared" si="28"/>
        <v>208380000</v>
      </c>
      <c r="AP197" s="20"/>
    </row>
    <row r="198" spans="5:47">
      <c r="G198" s="2" t="s">
        <v>6469</v>
      </c>
      <c r="H198" s="3">
        <v>540424.560405</v>
      </c>
      <c r="M198" s="361" t="s">
        <v>4776</v>
      </c>
      <c r="N198" s="1">
        <v>372517</v>
      </c>
      <c r="O198" s="374" t="s">
        <v>5343</v>
      </c>
      <c r="P198" s="374">
        <v>21663</v>
      </c>
      <c r="Q198" s="18">
        <v>2308.0067819999999</v>
      </c>
      <c r="R198" s="18">
        <f t="shared" si="18"/>
        <v>49998350.918466002</v>
      </c>
      <c r="S198" s="399" t="s">
        <v>5346</v>
      </c>
      <c r="AJ198" s="11">
        <v>178</v>
      </c>
      <c r="AK198" s="3" t="s">
        <v>4994</v>
      </c>
      <c r="AL198" s="3">
        <v>880000</v>
      </c>
      <c r="AM198" s="11">
        <v>4</v>
      </c>
      <c r="AN198" s="20">
        <f t="shared" si="27"/>
        <v>905</v>
      </c>
      <c r="AO198" s="37">
        <f t="shared" si="28"/>
        <v>796400000</v>
      </c>
      <c r="AP198" s="20"/>
    </row>
    <row r="199" spans="5:47">
      <c r="G199" s="2" t="s">
        <v>6470</v>
      </c>
      <c r="H199" s="3">
        <v>2781712.2405709997</v>
      </c>
      <c r="M199" s="361" t="s">
        <v>4805</v>
      </c>
      <c r="N199" s="1">
        <v>6489257</v>
      </c>
      <c r="O199" s="374" t="s">
        <v>5343</v>
      </c>
      <c r="P199" s="374">
        <v>977</v>
      </c>
      <c r="Q199" s="18">
        <v>2335.6821479999999</v>
      </c>
      <c r="R199" s="18">
        <f t="shared" si="18"/>
        <v>2281961.458596</v>
      </c>
      <c r="S199" s="399" t="s">
        <v>4976</v>
      </c>
      <c r="AA199" t="s">
        <v>25</v>
      </c>
      <c r="AJ199" s="11">
        <v>179</v>
      </c>
      <c r="AK199" s="3" t="s">
        <v>4998</v>
      </c>
      <c r="AL199" s="3">
        <v>-900000</v>
      </c>
      <c r="AM199" s="11">
        <v>1</v>
      </c>
      <c r="AN199" s="20">
        <f t="shared" si="27"/>
        <v>901</v>
      </c>
      <c r="AO199" s="37">
        <f t="shared" si="28"/>
        <v>-810900000</v>
      </c>
      <c r="AP199" s="20"/>
    </row>
    <row r="200" spans="5:47">
      <c r="G200" s="2" t="s">
        <v>6475</v>
      </c>
      <c r="H200" s="3">
        <v>109680.86334900001</v>
      </c>
      <c r="M200" s="361" t="s">
        <v>4816</v>
      </c>
      <c r="N200" s="1">
        <v>618000</v>
      </c>
      <c r="O200" s="374" t="s">
        <v>5350</v>
      </c>
      <c r="P200" s="374">
        <v>4155</v>
      </c>
      <c r="Q200" s="18">
        <v>2647</v>
      </c>
      <c r="R200" s="18">
        <f t="shared" si="18"/>
        <v>10998285</v>
      </c>
      <c r="S200" s="399" t="s">
        <v>4976</v>
      </c>
      <c r="AJ200" s="11">
        <v>180</v>
      </c>
      <c r="AK200" s="3" t="s">
        <v>912</v>
      </c>
      <c r="AL200" s="3">
        <v>-3500000</v>
      </c>
      <c r="AM200" s="11">
        <v>1</v>
      </c>
      <c r="AN200" s="20">
        <f t="shared" si="27"/>
        <v>900</v>
      </c>
      <c r="AO200" s="37">
        <f t="shared" si="28"/>
        <v>-3150000000</v>
      </c>
      <c r="AP200" s="20"/>
      <c r="AT200" t="s">
        <v>25</v>
      </c>
    </row>
    <row r="201" spans="5:47">
      <c r="G201" s="2" t="s">
        <v>6493</v>
      </c>
      <c r="H201" s="3">
        <v>13945790.265610002</v>
      </c>
      <c r="M201" s="361" t="s">
        <v>4820</v>
      </c>
      <c r="N201" s="1">
        <v>20105000</v>
      </c>
      <c r="O201" s="374" t="s">
        <v>5351</v>
      </c>
      <c r="P201" s="374">
        <v>351</v>
      </c>
      <c r="Q201" s="18">
        <v>2800.6238229999999</v>
      </c>
      <c r="R201" s="18">
        <f t="shared" si="18"/>
        <v>983018.96187300002</v>
      </c>
      <c r="S201" s="399" t="s">
        <v>4976</v>
      </c>
      <c r="AJ201" s="11">
        <v>181</v>
      </c>
      <c r="AK201" s="3" t="s">
        <v>4171</v>
      </c>
      <c r="AL201" s="3">
        <v>-1600000</v>
      </c>
      <c r="AM201" s="11">
        <v>1</v>
      </c>
      <c r="AN201" s="20">
        <f t="shared" si="27"/>
        <v>899</v>
      </c>
      <c r="AO201" s="37">
        <f t="shared" si="28"/>
        <v>-1438400000</v>
      </c>
      <c r="AP201" s="20"/>
      <c r="AS201" t="s">
        <v>25</v>
      </c>
    </row>
    <row r="202" spans="5:47">
      <c r="G202" s="2" t="s">
        <v>6495</v>
      </c>
      <c r="H202" s="3">
        <v>457914.84466800001</v>
      </c>
      <c r="M202" s="361" t="s">
        <v>4821</v>
      </c>
      <c r="N202" s="1">
        <v>-21079990</v>
      </c>
      <c r="O202" s="374" t="s">
        <v>5353</v>
      </c>
      <c r="P202" s="374">
        <v>5877</v>
      </c>
      <c r="Q202" s="18">
        <v>2901.0160000000001</v>
      </c>
      <c r="R202" s="18">
        <f t="shared" si="18"/>
        <v>17049271.032000002</v>
      </c>
      <c r="S202" s="399" t="s">
        <v>4976</v>
      </c>
      <c r="AA202" t="s">
        <v>25</v>
      </c>
      <c r="AJ202" s="11">
        <v>182</v>
      </c>
      <c r="AK202" s="3" t="s">
        <v>5003</v>
      </c>
      <c r="AL202" s="3">
        <v>-800000</v>
      </c>
      <c r="AM202" s="11">
        <v>7</v>
      </c>
      <c r="AN202" s="20">
        <f t="shared" si="27"/>
        <v>898</v>
      </c>
      <c r="AO202" s="37">
        <f t="shared" si="28"/>
        <v>-718400000</v>
      </c>
      <c r="AP202" s="20"/>
    </row>
    <row r="203" spans="5:47">
      <c r="G203" s="2" t="s">
        <v>6496</v>
      </c>
      <c r="H203" s="3">
        <v>974570.33942399989</v>
      </c>
      <c r="M203" s="361" t="s">
        <v>4827</v>
      </c>
      <c r="N203" s="1">
        <v>-5949277</v>
      </c>
      <c r="O203" s="374" t="s">
        <v>5356</v>
      </c>
      <c r="P203" s="374">
        <v>2374</v>
      </c>
      <c r="Q203" s="18">
        <v>2877</v>
      </c>
      <c r="R203" s="18">
        <f t="shared" ref="R203:R240" si="29">P203*Q203</f>
        <v>6829998</v>
      </c>
      <c r="S203" s="399" t="s">
        <v>4976</v>
      </c>
      <c r="AA203" t="s">
        <v>25</v>
      </c>
      <c r="AJ203" s="11">
        <v>183</v>
      </c>
      <c r="AK203" s="3" t="s">
        <v>5011</v>
      </c>
      <c r="AL203" s="3">
        <v>50000</v>
      </c>
      <c r="AM203" s="11">
        <v>2</v>
      </c>
      <c r="AN203" s="20">
        <f t="shared" si="27"/>
        <v>891</v>
      </c>
      <c r="AO203" s="37">
        <f t="shared" si="28"/>
        <v>44550000</v>
      </c>
      <c r="AP203" s="20"/>
    </row>
    <row r="204" spans="5:47">
      <c r="G204" s="2" t="s">
        <v>6497</v>
      </c>
      <c r="H204" s="3">
        <v>746198.52596400003</v>
      </c>
      <c r="M204" s="361" t="s">
        <v>4833</v>
      </c>
      <c r="N204" s="1">
        <v>-15370656</v>
      </c>
      <c r="O204" s="374" t="s">
        <v>4127</v>
      </c>
      <c r="P204" s="374">
        <v>2532</v>
      </c>
      <c r="Q204" s="18">
        <v>2757.7444</v>
      </c>
      <c r="R204" s="18">
        <f t="shared" si="29"/>
        <v>6982608.8207999999</v>
      </c>
      <c r="S204" s="399" t="s">
        <v>4976</v>
      </c>
      <c r="AJ204" s="11">
        <v>184</v>
      </c>
      <c r="AK204" s="3" t="s">
        <v>5013</v>
      </c>
      <c r="AL204" s="3">
        <v>400000</v>
      </c>
      <c r="AM204" s="11">
        <v>8</v>
      </c>
      <c r="AN204" s="20">
        <f t="shared" ref="AN204:AN213" si="30">AN205+AM204</f>
        <v>889</v>
      </c>
      <c r="AO204" s="37">
        <f t="shared" ref="AO204:AO213" si="31">AL204*AN204</f>
        <v>355600000</v>
      </c>
      <c r="AP204" s="20"/>
      <c r="AT204" t="s">
        <v>25</v>
      </c>
    </row>
    <row r="205" spans="5:47">
      <c r="G205" s="2" t="s">
        <v>6499</v>
      </c>
      <c r="H205" s="3">
        <v>416108</v>
      </c>
      <c r="M205" s="361" t="s">
        <v>4833</v>
      </c>
      <c r="N205" s="1">
        <v>4960000</v>
      </c>
      <c r="O205" s="374" t="s">
        <v>4127</v>
      </c>
      <c r="P205" s="374">
        <v>4987</v>
      </c>
      <c r="Q205" s="18">
        <v>2757.7444</v>
      </c>
      <c r="R205" s="18">
        <f t="shared" si="29"/>
        <v>13752871.322800001</v>
      </c>
      <c r="S205" s="399" t="s">
        <v>5368</v>
      </c>
      <c r="AC205" t="s">
        <v>25</v>
      </c>
      <c r="AJ205" s="11">
        <v>185</v>
      </c>
      <c r="AK205" s="3" t="s">
        <v>4989</v>
      </c>
      <c r="AL205" s="3">
        <v>-10000000</v>
      </c>
      <c r="AM205" s="11">
        <v>0</v>
      </c>
      <c r="AN205" s="20">
        <f t="shared" si="30"/>
        <v>881</v>
      </c>
      <c r="AO205" s="37">
        <f t="shared" si="31"/>
        <v>-8810000000</v>
      </c>
      <c r="AP205" s="20" t="s">
        <v>4835</v>
      </c>
    </row>
    <row r="206" spans="5:47">
      <c r="G206" s="2" t="s">
        <v>6510</v>
      </c>
      <c r="H206" s="3">
        <v>361620.57555000001</v>
      </c>
      <c r="M206" s="361" t="s">
        <v>4840</v>
      </c>
      <c r="N206" s="1">
        <v>10000000</v>
      </c>
      <c r="O206" s="374" t="s">
        <v>4127</v>
      </c>
      <c r="P206" s="374">
        <v>997</v>
      </c>
      <c r="Q206" s="18">
        <v>2757.7444</v>
      </c>
      <c r="R206" s="18">
        <f t="shared" si="29"/>
        <v>2749471.1668000002</v>
      </c>
      <c r="S206" s="399" t="s">
        <v>5369</v>
      </c>
      <c r="AA206" t="s">
        <v>25</v>
      </c>
      <c r="AJ206" s="11">
        <v>186</v>
      </c>
      <c r="AK206" s="3" t="s">
        <v>4989</v>
      </c>
      <c r="AL206" s="3">
        <v>3000000</v>
      </c>
      <c r="AM206" s="11">
        <v>1</v>
      </c>
      <c r="AN206" s="20">
        <f t="shared" si="30"/>
        <v>881</v>
      </c>
      <c r="AO206" s="37">
        <f t="shared" si="31"/>
        <v>2643000000</v>
      </c>
      <c r="AP206" s="20"/>
    </row>
    <row r="207" spans="5:47">
      <c r="G207" s="2" t="s">
        <v>6511</v>
      </c>
      <c r="H207" s="3">
        <v>761310.51884999999</v>
      </c>
      <c r="M207" s="361" t="s">
        <v>4849</v>
      </c>
      <c r="N207" s="1">
        <v>-40570100</v>
      </c>
      <c r="O207" s="374" t="s">
        <v>5373</v>
      </c>
      <c r="P207" s="374">
        <v>2874</v>
      </c>
      <c r="Q207" s="18">
        <v>2613.1284000000001</v>
      </c>
      <c r="R207" s="18">
        <f t="shared" si="29"/>
        <v>7510131.0216000006</v>
      </c>
      <c r="S207" s="399" t="s">
        <v>4976</v>
      </c>
      <c r="AJ207" s="11">
        <v>187</v>
      </c>
      <c r="AK207" s="3" t="s">
        <v>5025</v>
      </c>
      <c r="AL207" s="3">
        <v>500000</v>
      </c>
      <c r="AM207" s="11">
        <v>23</v>
      </c>
      <c r="AN207" s="20">
        <f t="shared" si="30"/>
        <v>880</v>
      </c>
      <c r="AO207" s="37">
        <f t="shared" si="31"/>
        <v>440000000</v>
      </c>
      <c r="AP207" s="20"/>
      <c r="AT207" t="s">
        <v>25</v>
      </c>
    </row>
    <row r="208" spans="5:47">
      <c r="E208" t="s">
        <v>25</v>
      </c>
      <c r="G208" s="2" t="s">
        <v>6512</v>
      </c>
      <c r="H208" s="3">
        <v>3047100.3041699999</v>
      </c>
      <c r="M208" s="361" t="s">
        <v>4850</v>
      </c>
      <c r="N208" s="1">
        <v>1000000</v>
      </c>
      <c r="O208" s="374" t="s">
        <v>5378</v>
      </c>
      <c r="P208" s="374">
        <v>2847</v>
      </c>
      <c r="Q208" s="18">
        <v>2556.3841000000002</v>
      </c>
      <c r="R208" s="18">
        <f t="shared" si="29"/>
        <v>7278025.5327000003</v>
      </c>
      <c r="S208" s="399" t="s">
        <v>4976</v>
      </c>
      <c r="AB208" t="s">
        <v>25</v>
      </c>
      <c r="AJ208" s="11">
        <v>188</v>
      </c>
      <c r="AK208" s="3" t="s">
        <v>5046</v>
      </c>
      <c r="AL208" s="3">
        <v>101268</v>
      </c>
      <c r="AM208" s="11">
        <v>1</v>
      </c>
      <c r="AN208" s="20">
        <f t="shared" si="30"/>
        <v>857</v>
      </c>
      <c r="AO208" s="37">
        <f t="shared" si="31"/>
        <v>86786676</v>
      </c>
      <c r="AP208" s="20"/>
      <c r="AT208" t="s">
        <v>25</v>
      </c>
    </row>
    <row r="209" spans="7:48">
      <c r="G209" s="2" t="s">
        <v>6514</v>
      </c>
      <c r="H209" s="3">
        <v>2437078.451072</v>
      </c>
      <c r="M209" s="361" t="s">
        <v>4857</v>
      </c>
      <c r="N209" s="1">
        <v>400000</v>
      </c>
      <c r="O209" s="374" t="s">
        <v>5378</v>
      </c>
      <c r="P209" s="374">
        <v>1222</v>
      </c>
      <c r="Q209" s="18">
        <v>2556.3841000000002</v>
      </c>
      <c r="R209" s="18">
        <f t="shared" si="29"/>
        <v>3123901.3702000002</v>
      </c>
      <c r="S209" s="399" t="s">
        <v>5379</v>
      </c>
      <c r="AJ209" s="11">
        <v>189</v>
      </c>
      <c r="AK209" s="3" t="s">
        <v>5049</v>
      </c>
      <c r="AL209" s="3">
        <v>101000</v>
      </c>
      <c r="AM209" s="11">
        <v>34</v>
      </c>
      <c r="AN209" s="20">
        <f t="shared" si="30"/>
        <v>856</v>
      </c>
      <c r="AO209" s="37">
        <f t="shared" si="31"/>
        <v>86456000</v>
      </c>
      <c r="AP209" s="20"/>
      <c r="AR209" t="s">
        <v>25</v>
      </c>
      <c r="AV209" t="s">
        <v>25</v>
      </c>
    </row>
    <row r="210" spans="7:48">
      <c r="G210" s="2" t="s">
        <v>6588</v>
      </c>
      <c r="H210" s="3">
        <v>7747639.4065840002</v>
      </c>
      <c r="M210" s="361" t="s">
        <v>4870</v>
      </c>
      <c r="N210" s="1">
        <v>120000</v>
      </c>
      <c r="O210" s="374" t="s">
        <v>5386</v>
      </c>
      <c r="P210" s="374">
        <v>73</v>
      </c>
      <c r="Q210" s="18">
        <v>2672.0459999999998</v>
      </c>
      <c r="R210" s="18">
        <f t="shared" si="29"/>
        <v>195059.35799999998</v>
      </c>
      <c r="S210" s="399" t="s">
        <v>4976</v>
      </c>
      <c r="AC210" t="s">
        <v>25</v>
      </c>
      <c r="AJ210" s="11">
        <v>190</v>
      </c>
      <c r="AK210" s="3" t="s">
        <v>5074</v>
      </c>
      <c r="AL210" s="3">
        <v>-488602</v>
      </c>
      <c r="AM210" s="11">
        <v>5</v>
      </c>
      <c r="AN210" s="20">
        <f t="shared" si="30"/>
        <v>822</v>
      </c>
      <c r="AO210" s="37">
        <f t="shared" si="31"/>
        <v>-401630844</v>
      </c>
      <c r="AP210" s="20"/>
      <c r="AT210" t="s">
        <v>25</v>
      </c>
    </row>
    <row r="211" spans="7:48">
      <c r="G211" s="2" t="s">
        <v>6589</v>
      </c>
      <c r="H211" s="3">
        <v>5584918.3522559991</v>
      </c>
      <c r="M211" s="361" t="s">
        <v>4862</v>
      </c>
      <c r="N211" s="1">
        <v>500000</v>
      </c>
      <c r="O211" s="374" t="s">
        <v>5390</v>
      </c>
      <c r="P211" s="374">
        <v>332</v>
      </c>
      <c r="Q211" s="18">
        <v>2598.1260000000002</v>
      </c>
      <c r="R211" s="18">
        <f t="shared" si="29"/>
        <v>862577.83200000005</v>
      </c>
      <c r="S211" s="399" t="s">
        <v>5391</v>
      </c>
      <c r="AJ211" s="11">
        <v>191</v>
      </c>
      <c r="AK211" s="3" t="s">
        <v>5088</v>
      </c>
      <c r="AL211" s="3">
        <v>360000</v>
      </c>
      <c r="AM211" s="11">
        <v>10</v>
      </c>
      <c r="AN211" s="20">
        <f t="shared" si="30"/>
        <v>817</v>
      </c>
      <c r="AO211" s="37">
        <f t="shared" si="31"/>
        <v>294120000</v>
      </c>
      <c r="AP211" s="20"/>
      <c r="AT211" t="s">
        <v>25</v>
      </c>
    </row>
    <row r="212" spans="7:48">
      <c r="G212" s="2" t="s">
        <v>6590</v>
      </c>
      <c r="H212" s="3">
        <v>573666.77206800005</v>
      </c>
      <c r="M212" s="361" t="s">
        <v>4886</v>
      </c>
      <c r="N212" s="1">
        <v>744000</v>
      </c>
      <c r="O212" s="374" t="s">
        <v>5392</v>
      </c>
      <c r="P212" s="374">
        <v>346</v>
      </c>
      <c r="Q212" s="18">
        <v>2659.8510000000001</v>
      </c>
      <c r="R212" s="18">
        <f t="shared" si="29"/>
        <v>920308.446</v>
      </c>
      <c r="S212" s="399" t="s">
        <v>4976</v>
      </c>
      <c r="AA212" t="s">
        <v>25</v>
      </c>
      <c r="AJ212" s="11">
        <v>192</v>
      </c>
      <c r="AK212" s="3" t="s">
        <v>5098</v>
      </c>
      <c r="AL212" s="3">
        <v>-3600000</v>
      </c>
      <c r="AM212" s="11">
        <v>4</v>
      </c>
      <c r="AN212" s="20">
        <f t="shared" si="30"/>
        <v>807</v>
      </c>
      <c r="AO212" s="37">
        <f t="shared" si="31"/>
        <v>-2905200000</v>
      </c>
      <c r="AP212" s="20"/>
      <c r="AU212" t="s">
        <v>25</v>
      </c>
    </row>
    <row r="213" spans="7:48">
      <c r="G213" s="2" t="s">
        <v>6593</v>
      </c>
      <c r="H213" s="3">
        <v>1870018.6536539998</v>
      </c>
      <c r="M213" s="361" t="s">
        <v>4891</v>
      </c>
      <c r="N213" s="1">
        <v>65000</v>
      </c>
      <c r="O213" s="374" t="s">
        <v>5393</v>
      </c>
      <c r="P213" s="374">
        <v>1722</v>
      </c>
      <c r="Q213" s="18">
        <v>2692.1079220000001</v>
      </c>
      <c r="R213" s="18">
        <f t="shared" si="29"/>
        <v>4635809.8416840006</v>
      </c>
      <c r="S213" s="399" t="s">
        <v>4976</v>
      </c>
      <c r="AJ213" s="11">
        <v>193</v>
      </c>
      <c r="AK213" s="3" t="s">
        <v>5104</v>
      </c>
      <c r="AL213" s="3">
        <v>-1000000</v>
      </c>
      <c r="AM213" s="11">
        <v>5</v>
      </c>
      <c r="AN213" s="20">
        <f t="shared" si="30"/>
        <v>803</v>
      </c>
      <c r="AO213" s="37">
        <f t="shared" si="31"/>
        <v>-803000000</v>
      </c>
      <c r="AP213" s="20"/>
      <c r="AT213" t="s">
        <v>25</v>
      </c>
    </row>
    <row r="214" spans="7:48">
      <c r="G214" s="2" t="s">
        <v>6597</v>
      </c>
      <c r="H214" s="3">
        <v>117222.435308</v>
      </c>
      <c r="M214" s="361" t="s">
        <v>4863</v>
      </c>
      <c r="N214" s="1">
        <v>-14053702</v>
      </c>
      <c r="O214" s="374" t="s">
        <v>5395</v>
      </c>
      <c r="P214" s="374">
        <v>106</v>
      </c>
      <c r="Q214" s="18">
        <v>2725.4</v>
      </c>
      <c r="R214" s="18">
        <f t="shared" si="29"/>
        <v>288892.40000000002</v>
      </c>
      <c r="S214" s="399" t="s">
        <v>422</v>
      </c>
      <c r="AA214" t="s">
        <v>25</v>
      </c>
      <c r="AJ214" s="11">
        <v>194</v>
      </c>
      <c r="AK214" s="3" t="s">
        <v>5109</v>
      </c>
      <c r="AL214" s="3">
        <v>360000</v>
      </c>
      <c r="AM214" s="11">
        <v>2</v>
      </c>
      <c r="AN214" s="20">
        <f t="shared" ref="AN214:AN281" si="32">AN215+AM214</f>
        <v>798</v>
      </c>
      <c r="AO214" s="37">
        <f t="shared" ref="AO214:AO281" si="33">AL214*AN214</f>
        <v>287280000</v>
      </c>
      <c r="AP214" s="20"/>
      <c r="AS214" t="s">
        <v>25</v>
      </c>
    </row>
    <row r="215" spans="7:48">
      <c r="G215" s="2" t="s">
        <v>6598</v>
      </c>
      <c r="H215" s="3">
        <v>1940857.6749900002</v>
      </c>
      <c r="M215" s="361" t="s">
        <v>4927</v>
      </c>
      <c r="N215" s="1">
        <v>3555678</v>
      </c>
      <c r="O215" s="374" t="s">
        <v>5416</v>
      </c>
      <c r="P215" s="374">
        <v>25901</v>
      </c>
      <c r="Q215" s="18">
        <v>2258.9090000000001</v>
      </c>
      <c r="R215" s="18">
        <f t="shared" si="29"/>
        <v>58508002.009000003</v>
      </c>
      <c r="S215" s="399" t="s">
        <v>4976</v>
      </c>
      <c r="AA215" t="s">
        <v>25</v>
      </c>
      <c r="AJ215" s="11">
        <v>195</v>
      </c>
      <c r="AK215" s="3" t="s">
        <v>5114</v>
      </c>
      <c r="AL215" s="3">
        <v>2000000</v>
      </c>
      <c r="AM215" s="11">
        <v>1</v>
      </c>
      <c r="AN215" s="20">
        <f t="shared" si="32"/>
        <v>796</v>
      </c>
      <c r="AO215" s="37">
        <f t="shared" si="33"/>
        <v>1592000000</v>
      </c>
      <c r="AP215" s="20"/>
    </row>
    <row r="216" spans="7:48">
      <c r="G216" s="2" t="s">
        <v>6617</v>
      </c>
      <c r="H216" s="3">
        <v>195324.59944799999</v>
      </c>
      <c r="M216" s="361" t="s">
        <v>4931</v>
      </c>
      <c r="N216" s="1">
        <v>3495</v>
      </c>
      <c r="O216" s="374" t="s">
        <v>5418</v>
      </c>
      <c r="P216" s="374">
        <v>951</v>
      </c>
      <c r="Q216" s="18">
        <v>2361.2150799999999</v>
      </c>
      <c r="R216" s="18">
        <f t="shared" si="29"/>
        <v>2245515.5410799999</v>
      </c>
      <c r="S216" s="399" t="s">
        <v>4976</v>
      </c>
      <c r="AJ216" s="11">
        <v>196</v>
      </c>
      <c r="AK216" s="3" t="s">
        <v>5116</v>
      </c>
      <c r="AL216" s="3">
        <v>20000000</v>
      </c>
      <c r="AM216" s="11">
        <v>0</v>
      </c>
      <c r="AN216" s="20">
        <f t="shared" si="32"/>
        <v>795</v>
      </c>
      <c r="AO216" s="37">
        <f t="shared" si="33"/>
        <v>15900000000</v>
      </c>
      <c r="AP216" s="20" t="s">
        <v>4559</v>
      </c>
      <c r="AT216" t="s">
        <v>25</v>
      </c>
    </row>
    <row r="217" spans="7:48">
      <c r="G217" s="2" t="s">
        <v>6617</v>
      </c>
      <c r="H217" s="3">
        <v>20318581.172208</v>
      </c>
      <c r="M217" s="361" t="s">
        <v>4933</v>
      </c>
      <c r="N217" s="1">
        <v>6000000</v>
      </c>
      <c r="O217" s="374" t="s">
        <v>5420</v>
      </c>
      <c r="P217" s="374">
        <v>7622</v>
      </c>
      <c r="Q217" s="18">
        <v>2414.6810999999998</v>
      </c>
      <c r="R217" s="18">
        <f t="shared" si="29"/>
        <v>18404699.3442</v>
      </c>
      <c r="S217" s="399" t="s">
        <v>4976</v>
      </c>
      <c r="AJ217" s="11">
        <v>197</v>
      </c>
      <c r="AK217" s="3" t="s">
        <v>5116</v>
      </c>
      <c r="AL217" s="3">
        <v>-4700000</v>
      </c>
      <c r="AM217" s="11">
        <v>1</v>
      </c>
      <c r="AN217" s="20">
        <f t="shared" si="32"/>
        <v>795</v>
      </c>
      <c r="AO217" s="37">
        <f t="shared" si="33"/>
        <v>-3736500000</v>
      </c>
      <c r="AP217" s="20"/>
    </row>
    <row r="218" spans="7:48">
      <c r="G218" s="2" t="s">
        <v>6619</v>
      </c>
      <c r="H218" s="3">
        <v>2893976.613864</v>
      </c>
      <c r="M218" s="361" t="s">
        <v>4934</v>
      </c>
      <c r="N218" s="1">
        <v>17220</v>
      </c>
      <c r="O218" s="374" t="s">
        <v>5420</v>
      </c>
      <c r="P218" s="374">
        <v>-282</v>
      </c>
      <c r="Q218" s="18">
        <v>2414.6810999999998</v>
      </c>
      <c r="R218" s="18">
        <f t="shared" si="29"/>
        <v>-680940.07019999996</v>
      </c>
      <c r="S218" s="399" t="s">
        <v>5421</v>
      </c>
      <c r="AJ218" s="11">
        <v>198</v>
      </c>
      <c r="AK218" s="3" t="s">
        <v>5119</v>
      </c>
      <c r="AL218" s="3">
        <v>3000000</v>
      </c>
      <c r="AM218" s="11">
        <v>4</v>
      </c>
      <c r="AN218" s="20">
        <f t="shared" si="32"/>
        <v>794</v>
      </c>
      <c r="AO218" s="37">
        <f t="shared" si="33"/>
        <v>2382000000</v>
      </c>
      <c r="AP218" s="20"/>
      <c r="AU218" t="s">
        <v>25</v>
      </c>
    </row>
    <row r="219" spans="7:48">
      <c r="G219" s="2" t="s">
        <v>6620</v>
      </c>
      <c r="H219" s="3">
        <v>348175.86130300001</v>
      </c>
      <c r="M219" s="361" t="s">
        <v>4936</v>
      </c>
      <c r="N219" s="1">
        <v>8249</v>
      </c>
      <c r="O219" s="374" t="s">
        <v>5420</v>
      </c>
      <c r="P219" s="374">
        <v>20162</v>
      </c>
      <c r="Q219" s="18">
        <v>2414.6810999999998</v>
      </c>
      <c r="R219" s="18">
        <f t="shared" si="29"/>
        <v>48684800.338199995</v>
      </c>
      <c r="S219" s="399" t="s">
        <v>5422</v>
      </c>
      <c r="AJ219" s="11">
        <v>199</v>
      </c>
      <c r="AK219" s="3" t="s">
        <v>5121</v>
      </c>
      <c r="AL219" s="3">
        <v>1500000</v>
      </c>
      <c r="AM219" s="11">
        <v>1</v>
      </c>
      <c r="AN219" s="20">
        <f t="shared" si="32"/>
        <v>790</v>
      </c>
      <c r="AO219" s="37">
        <f t="shared" si="33"/>
        <v>1185000000</v>
      </c>
      <c r="AP219" s="20"/>
    </row>
    <row r="220" spans="7:48">
      <c r="G220" s="2" t="s">
        <v>6622</v>
      </c>
      <c r="H220" s="3">
        <v>315280.48550000001</v>
      </c>
      <c r="M220" s="361" t="s">
        <v>4936</v>
      </c>
      <c r="N220" s="1">
        <v>6937</v>
      </c>
      <c r="O220" s="374" t="s">
        <v>5420</v>
      </c>
      <c r="P220" s="374">
        <v>-20162</v>
      </c>
      <c r="Q220" s="18">
        <v>2414.6810999999998</v>
      </c>
      <c r="R220" s="18">
        <f t="shared" si="29"/>
        <v>-48684800.338199995</v>
      </c>
      <c r="S220" s="399" t="s">
        <v>690</v>
      </c>
      <c r="AJ220" s="11">
        <v>200</v>
      </c>
      <c r="AK220" s="3" t="s">
        <v>5123</v>
      </c>
      <c r="AL220" s="3">
        <v>30000000</v>
      </c>
      <c r="AM220" s="11">
        <v>33</v>
      </c>
      <c r="AN220" s="20">
        <f t="shared" si="32"/>
        <v>789</v>
      </c>
      <c r="AO220" s="37">
        <f t="shared" si="33"/>
        <v>23670000000</v>
      </c>
      <c r="AP220" s="20"/>
    </row>
    <row r="221" spans="7:48">
      <c r="G221" s="2" t="s">
        <v>6626</v>
      </c>
      <c r="H221" s="3">
        <v>184045.65498799999</v>
      </c>
      <c r="M221" s="361" t="s">
        <v>4939</v>
      </c>
      <c r="N221" s="1">
        <v>4046552</v>
      </c>
      <c r="O221" s="374" t="s">
        <v>5423</v>
      </c>
      <c r="P221" s="374">
        <v>977</v>
      </c>
      <c r="Q221" s="18">
        <v>2317.971947</v>
      </c>
      <c r="R221" s="18">
        <f t="shared" si="29"/>
        <v>2264658.5922190002</v>
      </c>
      <c r="S221" s="399" t="s">
        <v>4976</v>
      </c>
      <c r="AJ221" s="11">
        <v>201</v>
      </c>
      <c r="AK221" s="3" t="s">
        <v>5197</v>
      </c>
      <c r="AL221" s="3">
        <v>3000000</v>
      </c>
      <c r="AM221" s="11">
        <v>1</v>
      </c>
      <c r="AN221" s="20">
        <f t="shared" si="32"/>
        <v>756</v>
      </c>
      <c r="AO221" s="37">
        <f t="shared" si="33"/>
        <v>2268000000</v>
      </c>
      <c r="AP221" s="20"/>
    </row>
    <row r="222" spans="7:48">
      <c r="G222" s="281" t="s">
        <v>6638</v>
      </c>
      <c r="H222" s="282">
        <v>3224064.2855249997</v>
      </c>
      <c r="M222" s="361" t="s">
        <v>4946</v>
      </c>
      <c r="N222" s="1">
        <v>-3884943</v>
      </c>
      <c r="O222" s="374" t="s">
        <v>5424</v>
      </c>
      <c r="P222" s="374">
        <v>10280</v>
      </c>
      <c r="Q222" s="18">
        <v>2225.429357</v>
      </c>
      <c r="R222" s="18">
        <f t="shared" si="29"/>
        <v>22877413.789960001</v>
      </c>
      <c r="S222" s="399" t="s">
        <v>4976</v>
      </c>
      <c r="AJ222" s="11">
        <v>202</v>
      </c>
      <c r="AK222" s="3" t="s">
        <v>5198</v>
      </c>
      <c r="AL222" s="3">
        <v>7000000</v>
      </c>
      <c r="AM222" s="11">
        <v>4</v>
      </c>
      <c r="AN222" s="20">
        <f t="shared" si="32"/>
        <v>755</v>
      </c>
      <c r="AO222" s="37">
        <f t="shared" si="33"/>
        <v>5285000000</v>
      </c>
      <c r="AP222" s="20"/>
    </row>
    <row r="223" spans="7:48">
      <c r="G223" s="2" t="s">
        <v>6639</v>
      </c>
      <c r="H223" s="3">
        <v>145302.32212200001</v>
      </c>
      <c r="M223" s="361" t="s">
        <v>4972</v>
      </c>
      <c r="N223" s="1">
        <v>6022</v>
      </c>
      <c r="O223" s="374" t="s">
        <v>5425</v>
      </c>
      <c r="P223" s="374">
        <v>1022</v>
      </c>
      <c r="Q223" s="18">
        <v>2311.6824240000001</v>
      </c>
      <c r="R223" s="18">
        <f t="shared" si="29"/>
        <v>2362539.4373280001</v>
      </c>
      <c r="S223" s="399" t="s">
        <v>4976</v>
      </c>
      <c r="AJ223" s="11">
        <v>203</v>
      </c>
      <c r="AK223" s="3" t="s">
        <v>5206</v>
      </c>
      <c r="AL223" s="3">
        <v>8800000</v>
      </c>
      <c r="AM223" s="11">
        <v>2</v>
      </c>
      <c r="AN223" s="20">
        <f t="shared" si="32"/>
        <v>751</v>
      </c>
      <c r="AO223" s="37">
        <f t="shared" si="33"/>
        <v>6608800000</v>
      </c>
      <c r="AP223" s="20"/>
    </row>
    <row r="224" spans="7:48" ht="28.5" customHeight="1">
      <c r="G224" s="2" t="s">
        <v>6640</v>
      </c>
      <c r="H224" s="3">
        <v>7184125.4612399992</v>
      </c>
      <c r="M224" s="361" t="s">
        <v>4975</v>
      </c>
      <c r="N224" s="1">
        <v>400000</v>
      </c>
      <c r="O224" s="374" t="s">
        <v>5426</v>
      </c>
      <c r="P224" s="374">
        <v>6818</v>
      </c>
      <c r="Q224" s="18">
        <v>2352.988656</v>
      </c>
      <c r="R224" s="18">
        <f t="shared" si="29"/>
        <v>16042676.656608</v>
      </c>
      <c r="S224" s="399" t="s">
        <v>4976</v>
      </c>
      <c r="AJ224" s="11">
        <v>204</v>
      </c>
      <c r="AK224" s="3" t="s">
        <v>5211</v>
      </c>
      <c r="AL224" s="3">
        <v>40000000</v>
      </c>
      <c r="AM224" s="11">
        <v>8</v>
      </c>
      <c r="AN224" s="20">
        <f t="shared" si="32"/>
        <v>749</v>
      </c>
      <c r="AO224" s="37">
        <f t="shared" si="33"/>
        <v>29960000000</v>
      </c>
      <c r="AP224" s="20" t="s">
        <v>4559</v>
      </c>
    </row>
    <row r="225" spans="7:47">
      <c r="G225" s="2" t="s">
        <v>6642</v>
      </c>
      <c r="H225" s="3">
        <v>8260484.4756000005</v>
      </c>
      <c r="M225" s="361" t="s">
        <v>4975</v>
      </c>
      <c r="N225" s="1">
        <v>92847</v>
      </c>
      <c r="O225" s="374" t="s">
        <v>5427</v>
      </c>
      <c r="P225" s="374">
        <v>8023</v>
      </c>
      <c r="Q225" s="18">
        <v>2293.8167079999998</v>
      </c>
      <c r="R225" s="18">
        <f t="shared" si="29"/>
        <v>18403291.448284</v>
      </c>
      <c r="S225" s="399" t="s">
        <v>4976</v>
      </c>
      <c r="AJ225" s="11">
        <v>205</v>
      </c>
      <c r="AK225" s="3" t="s">
        <v>5224</v>
      </c>
      <c r="AL225" s="3">
        <v>400000</v>
      </c>
      <c r="AM225" s="11">
        <v>17</v>
      </c>
      <c r="AN225" s="20">
        <f t="shared" si="32"/>
        <v>741</v>
      </c>
      <c r="AO225" s="37">
        <f t="shared" si="33"/>
        <v>296400000</v>
      </c>
      <c r="AP225" s="20"/>
      <c r="AT225" t="s">
        <v>25</v>
      </c>
    </row>
    <row r="226" spans="7:47">
      <c r="G226" s="2" t="s">
        <v>6643</v>
      </c>
      <c r="H226" s="3">
        <v>2791202.6544840001</v>
      </c>
      <c r="M226" s="361" t="s">
        <v>4979</v>
      </c>
      <c r="N226" s="1">
        <v>-100000</v>
      </c>
      <c r="O226" s="374" t="s">
        <v>5428</v>
      </c>
      <c r="P226" s="374">
        <v>4666</v>
      </c>
      <c r="Q226" s="18">
        <v>2263.4906230000001</v>
      </c>
      <c r="R226" s="18">
        <f t="shared" si="29"/>
        <v>10561447.246918</v>
      </c>
      <c r="S226" s="399" t="s">
        <v>4976</v>
      </c>
      <c r="AJ226" s="11">
        <v>206</v>
      </c>
      <c r="AK226" s="3" t="s">
        <v>5244</v>
      </c>
      <c r="AL226" s="3">
        <v>-20000000</v>
      </c>
      <c r="AM226" s="11">
        <v>18</v>
      </c>
      <c r="AN226" s="20">
        <f t="shared" si="32"/>
        <v>724</v>
      </c>
      <c r="AO226" s="37">
        <f t="shared" si="33"/>
        <v>-14480000000</v>
      </c>
      <c r="AP226" s="20" t="s">
        <v>4835</v>
      </c>
    </row>
    <row r="227" spans="7:47">
      <c r="G227" s="2" t="s">
        <v>6644</v>
      </c>
      <c r="H227" s="3">
        <v>248142.0681</v>
      </c>
      <c r="M227" s="361" t="s">
        <v>4984</v>
      </c>
      <c r="N227" s="1">
        <v>10000000</v>
      </c>
      <c r="O227" s="374" t="s">
        <v>5429</v>
      </c>
      <c r="P227" s="374">
        <v>542</v>
      </c>
      <c r="Q227" s="18">
        <v>2263.4906230000001</v>
      </c>
      <c r="R227" s="18">
        <f t="shared" si="29"/>
        <v>1226811.9176660001</v>
      </c>
      <c r="S227" s="399" t="s">
        <v>4976</v>
      </c>
      <c r="AJ227" s="11">
        <v>207</v>
      </c>
      <c r="AK227" s="3" t="s">
        <v>5258</v>
      </c>
      <c r="AL227" s="3">
        <v>3006000</v>
      </c>
      <c r="AM227" s="11">
        <v>19</v>
      </c>
      <c r="AN227" s="20">
        <f t="shared" si="32"/>
        <v>706</v>
      </c>
      <c r="AO227" s="37">
        <f t="shared" si="33"/>
        <v>2122236000</v>
      </c>
      <c r="AP227" s="20"/>
    </row>
    <row r="228" spans="7:47">
      <c r="G228" s="2" t="s">
        <v>6659</v>
      </c>
      <c r="H228" s="3">
        <v>3374278.1910000001</v>
      </c>
      <c r="M228" s="361" t="s">
        <v>4988</v>
      </c>
      <c r="N228" s="1">
        <v>-400000</v>
      </c>
      <c r="O228" s="374" t="s">
        <v>5430</v>
      </c>
      <c r="P228" s="374">
        <v>16629</v>
      </c>
      <c r="Q228" s="18">
        <v>2367.7887540000002</v>
      </c>
      <c r="R228" s="18">
        <f t="shared" si="29"/>
        <v>39373959.190266006</v>
      </c>
      <c r="S228" s="399" t="s">
        <v>4976</v>
      </c>
      <c r="AJ228" s="11">
        <v>208</v>
      </c>
      <c r="AK228" s="3" t="s">
        <v>5159</v>
      </c>
      <c r="AL228" s="3">
        <v>-130382924</v>
      </c>
      <c r="AM228" s="11">
        <v>0</v>
      </c>
      <c r="AN228" s="20">
        <f t="shared" si="32"/>
        <v>687</v>
      </c>
      <c r="AO228" s="37">
        <f t="shared" si="33"/>
        <v>-89573068788</v>
      </c>
      <c r="AP228" s="20" t="s">
        <v>5281</v>
      </c>
      <c r="AT228" t="s">
        <v>25</v>
      </c>
    </row>
    <row r="229" spans="7:47">
      <c r="G229" s="2" t="s">
        <v>6680</v>
      </c>
      <c r="H229" s="3">
        <v>2616960</v>
      </c>
      <c r="M229" s="361" t="s">
        <v>4990</v>
      </c>
      <c r="N229" s="1">
        <v>5649</v>
      </c>
      <c r="O229" s="374" t="s">
        <v>5432</v>
      </c>
      <c r="P229" s="374">
        <v>11765</v>
      </c>
      <c r="Q229" s="18">
        <v>2354.7375320000001</v>
      </c>
      <c r="R229" s="18">
        <f t="shared" si="29"/>
        <v>27703487.063980002</v>
      </c>
      <c r="S229" s="399" t="s">
        <v>4976</v>
      </c>
      <c r="AJ229" s="11">
        <v>209</v>
      </c>
      <c r="AK229" s="3" t="s">
        <v>5159</v>
      </c>
      <c r="AL229" s="3">
        <v>125000000</v>
      </c>
      <c r="AM229" s="11">
        <v>1</v>
      </c>
      <c r="AN229" s="20">
        <f t="shared" si="32"/>
        <v>687</v>
      </c>
      <c r="AO229" s="37">
        <f t="shared" si="33"/>
        <v>85875000000</v>
      </c>
      <c r="AP229" s="20"/>
      <c r="AT229" t="s">
        <v>25</v>
      </c>
    </row>
    <row r="230" spans="7:47">
      <c r="G230" s="2" t="s">
        <v>6686</v>
      </c>
      <c r="H230" s="3">
        <v>253557.36216800002</v>
      </c>
      <c r="M230" s="361" t="s">
        <v>4991</v>
      </c>
      <c r="N230" s="1">
        <v>460000</v>
      </c>
      <c r="O230" s="374" t="s">
        <v>5433</v>
      </c>
      <c r="P230" s="374">
        <v>3672</v>
      </c>
      <c r="Q230" s="18">
        <v>2379.873826</v>
      </c>
      <c r="R230" s="18">
        <f t="shared" si="29"/>
        <v>8738896.6890719999</v>
      </c>
      <c r="S230" s="399" t="s">
        <v>4976</v>
      </c>
      <c r="AJ230" s="11">
        <v>210</v>
      </c>
      <c r="AK230" s="3" t="s">
        <v>5280</v>
      </c>
      <c r="AL230" s="3">
        <v>7200000</v>
      </c>
      <c r="AM230" s="11">
        <v>15</v>
      </c>
      <c r="AN230" s="20">
        <f t="shared" si="32"/>
        <v>686</v>
      </c>
      <c r="AO230" s="37">
        <f t="shared" si="33"/>
        <v>4939200000</v>
      </c>
      <c r="AP230" s="20"/>
      <c r="AS230" t="s">
        <v>25</v>
      </c>
      <c r="AU230" t="s">
        <v>25</v>
      </c>
    </row>
    <row r="231" spans="7:47">
      <c r="G231" s="2" t="s">
        <v>6688</v>
      </c>
      <c r="H231" s="3">
        <v>933193.93063399999</v>
      </c>
      <c r="M231" s="361" t="s">
        <v>4991</v>
      </c>
      <c r="N231" s="1">
        <v>1300000</v>
      </c>
      <c r="O231" s="374" t="s">
        <v>4100</v>
      </c>
      <c r="P231" s="374">
        <v>140</v>
      </c>
      <c r="Q231" s="18">
        <v>2487.154767</v>
      </c>
      <c r="R231" s="18">
        <f t="shared" si="29"/>
        <v>348201.66738</v>
      </c>
      <c r="S231" s="399" t="s">
        <v>4976</v>
      </c>
      <c r="AB231" t="s">
        <v>25</v>
      </c>
      <c r="AJ231" s="11">
        <v>211</v>
      </c>
      <c r="AK231" s="3" t="s">
        <v>5297</v>
      </c>
      <c r="AL231" s="3">
        <v>2050000</v>
      </c>
      <c r="AM231" s="11">
        <v>7</v>
      </c>
      <c r="AN231" s="20">
        <f t="shared" si="32"/>
        <v>671</v>
      </c>
      <c r="AO231" s="37">
        <f t="shared" si="33"/>
        <v>1375550000</v>
      </c>
      <c r="AP231" s="20"/>
      <c r="AT231" t="s">
        <v>25</v>
      </c>
      <c r="AU231" t="s">
        <v>25</v>
      </c>
    </row>
    <row r="232" spans="7:47">
      <c r="G232" s="2" t="s">
        <v>6689</v>
      </c>
      <c r="H232" s="3">
        <v>1191707.1852839999</v>
      </c>
      <c r="M232" s="361" t="s">
        <v>912</v>
      </c>
      <c r="N232" s="1">
        <v>7300000</v>
      </c>
      <c r="O232" s="374" t="s">
        <v>5434</v>
      </c>
      <c r="P232" s="374">
        <v>1616</v>
      </c>
      <c r="Q232" s="18">
        <v>2573.0760479999999</v>
      </c>
      <c r="R232" s="18">
        <f t="shared" si="29"/>
        <v>4158090.8935679998</v>
      </c>
      <c r="S232" s="399" t="s">
        <v>4976</v>
      </c>
      <c r="AJ232" s="11">
        <v>212</v>
      </c>
      <c r="AK232" s="3" t="s">
        <v>5307</v>
      </c>
      <c r="AL232" s="3">
        <v>50000000</v>
      </c>
      <c r="AM232" s="11">
        <v>24</v>
      </c>
      <c r="AN232" s="20">
        <f t="shared" si="32"/>
        <v>664</v>
      </c>
      <c r="AO232" s="37">
        <f t="shared" si="33"/>
        <v>33200000000</v>
      </c>
      <c r="AP232" s="20" t="s">
        <v>4559</v>
      </c>
    </row>
    <row r="233" spans="7:47">
      <c r="G233" s="2" t="s">
        <v>6690</v>
      </c>
      <c r="H233" s="3">
        <v>2538812.595222</v>
      </c>
      <c r="M233" s="361" t="s">
        <v>4171</v>
      </c>
      <c r="N233" s="1">
        <v>21203</v>
      </c>
      <c r="O233" s="189" t="s">
        <v>5435</v>
      </c>
      <c r="P233" s="189">
        <v>5682</v>
      </c>
      <c r="Q233" s="190">
        <v>2639.970566</v>
      </c>
      <c r="R233" s="190">
        <f t="shared" si="29"/>
        <v>15000312.756012</v>
      </c>
      <c r="S233" s="398" t="s">
        <v>5617</v>
      </c>
      <c r="AJ233" s="11">
        <v>213</v>
      </c>
      <c r="AK233" s="3" t="s">
        <v>5334</v>
      </c>
      <c r="AL233" s="3">
        <v>-58196600</v>
      </c>
      <c r="AM233" s="11">
        <v>22</v>
      </c>
      <c r="AN233" s="20">
        <f t="shared" si="32"/>
        <v>640</v>
      </c>
      <c r="AO233" s="37">
        <f t="shared" si="33"/>
        <v>-37245824000</v>
      </c>
      <c r="AP233" s="20" t="s">
        <v>4733</v>
      </c>
    </row>
    <row r="234" spans="7:47">
      <c r="G234" s="2" t="s">
        <v>6692</v>
      </c>
      <c r="H234" s="3">
        <v>2016850.526604</v>
      </c>
      <c r="M234" s="361" t="s">
        <v>4989</v>
      </c>
      <c r="N234" s="1">
        <v>34550</v>
      </c>
      <c r="O234" s="189" t="s">
        <v>5435</v>
      </c>
      <c r="P234" s="189">
        <v>-122</v>
      </c>
      <c r="Q234" s="190">
        <v>2639.970566</v>
      </c>
      <c r="R234" s="190">
        <f t="shared" si="29"/>
        <v>-322076.40905199997</v>
      </c>
      <c r="S234" s="398" t="s">
        <v>5644</v>
      </c>
      <c r="AJ234" s="11">
        <v>214</v>
      </c>
      <c r="AK234" s="3" t="s">
        <v>5372</v>
      </c>
      <c r="AL234" s="3">
        <v>25000</v>
      </c>
      <c r="AM234" s="11">
        <v>8</v>
      </c>
      <c r="AN234" s="20">
        <f t="shared" si="32"/>
        <v>618</v>
      </c>
      <c r="AO234" s="37">
        <f t="shared" si="33"/>
        <v>15450000</v>
      </c>
      <c r="AP234" s="20"/>
    </row>
    <row r="235" spans="7:47">
      <c r="G235" s="2" t="s">
        <v>6695</v>
      </c>
      <c r="H235" s="3">
        <v>130754.575732</v>
      </c>
      <c r="M235" s="361" t="s">
        <v>5026</v>
      </c>
      <c r="N235" s="1">
        <v>-2134406</v>
      </c>
      <c r="O235" s="374" t="s">
        <v>5435</v>
      </c>
      <c r="P235" s="374">
        <v>2272</v>
      </c>
      <c r="Q235" s="18">
        <v>2639.970566</v>
      </c>
      <c r="R235" s="18">
        <f t="shared" si="29"/>
        <v>5998013.1259519998</v>
      </c>
      <c r="S235" s="399" t="s">
        <v>5443</v>
      </c>
      <c r="AA235" t="s">
        <v>25</v>
      </c>
      <c r="AJ235" s="11">
        <v>215</v>
      </c>
      <c r="AK235" s="3" t="s">
        <v>5390</v>
      </c>
      <c r="AL235" s="3">
        <v>70000</v>
      </c>
      <c r="AM235" s="11">
        <v>6</v>
      </c>
      <c r="AN235" s="20">
        <f t="shared" si="32"/>
        <v>610</v>
      </c>
      <c r="AO235" s="37">
        <f t="shared" si="33"/>
        <v>42700000</v>
      </c>
      <c r="AP235" s="20"/>
    </row>
    <row r="236" spans="7:47">
      <c r="G236" s="2" t="s">
        <v>6696</v>
      </c>
      <c r="H236" s="3">
        <v>153756.41398000001</v>
      </c>
      <c r="M236" s="361" t="s">
        <v>5029</v>
      </c>
      <c r="N236" s="1">
        <v>-618906</v>
      </c>
      <c r="O236" s="374" t="s">
        <v>5435</v>
      </c>
      <c r="P236" s="374">
        <v>4434</v>
      </c>
      <c r="Q236" s="18">
        <v>2639.970566</v>
      </c>
      <c r="R236" s="18">
        <f t="shared" si="29"/>
        <v>11705629.489644</v>
      </c>
      <c r="S236" s="399" t="s">
        <v>5444</v>
      </c>
      <c r="AJ236" s="11">
        <v>216</v>
      </c>
      <c r="AK236" s="3" t="s">
        <v>5395</v>
      </c>
      <c r="AL236" s="3">
        <v>70000</v>
      </c>
      <c r="AM236" s="11">
        <v>1</v>
      </c>
      <c r="AN236" s="20">
        <f t="shared" si="32"/>
        <v>604</v>
      </c>
      <c r="AO236" s="37">
        <f t="shared" si="33"/>
        <v>42280000</v>
      </c>
      <c r="AP236" s="20"/>
      <c r="AT236" t="s">
        <v>25</v>
      </c>
    </row>
    <row r="237" spans="7:47">
      <c r="G237" s="2" t="s">
        <v>6701</v>
      </c>
      <c r="H237" s="3">
        <v>549780</v>
      </c>
      <c r="M237" s="361" t="s">
        <v>5071</v>
      </c>
      <c r="N237" s="1">
        <v>-54615</v>
      </c>
      <c r="O237" s="374" t="s">
        <v>5435</v>
      </c>
      <c r="P237" s="374">
        <v>2349</v>
      </c>
      <c r="Q237" s="18">
        <v>2639.970566</v>
      </c>
      <c r="R237" s="18">
        <f t="shared" si="29"/>
        <v>6201290.859534</v>
      </c>
      <c r="S237" s="399" t="s">
        <v>5445</v>
      </c>
      <c r="AJ237" s="11">
        <v>217</v>
      </c>
      <c r="AK237" s="3" t="s">
        <v>5385</v>
      </c>
      <c r="AL237" s="3">
        <v>150000</v>
      </c>
      <c r="AM237" s="11">
        <v>0</v>
      </c>
      <c r="AN237" s="20">
        <f t="shared" si="32"/>
        <v>603</v>
      </c>
      <c r="AO237" s="37">
        <f t="shared" si="33"/>
        <v>90450000</v>
      </c>
      <c r="AP237" s="20"/>
      <c r="AS237" t="s">
        <v>25</v>
      </c>
      <c r="AU237" t="s">
        <v>25</v>
      </c>
    </row>
    <row r="238" spans="7:47">
      <c r="G238" s="2" t="s">
        <v>6702</v>
      </c>
      <c r="H238" s="3">
        <v>1464826.6705450001</v>
      </c>
      <c r="M238" s="361" t="s">
        <v>5116</v>
      </c>
      <c r="N238" s="1">
        <v>18000000</v>
      </c>
      <c r="O238" s="374" t="s">
        <v>5435</v>
      </c>
      <c r="P238" s="374">
        <v>-568</v>
      </c>
      <c r="Q238" s="18">
        <v>2639.970566</v>
      </c>
      <c r="R238" s="18">
        <f t="shared" si="29"/>
        <v>-1499503.2814879999</v>
      </c>
      <c r="S238" s="399" t="s">
        <v>5446</v>
      </c>
      <c r="AJ238" s="11">
        <v>218</v>
      </c>
      <c r="AK238" s="3" t="s">
        <v>5385</v>
      </c>
      <c r="AL238" s="3">
        <v>-95599450</v>
      </c>
      <c r="AM238" s="11">
        <v>7</v>
      </c>
      <c r="AN238" s="20">
        <f t="shared" si="32"/>
        <v>603</v>
      </c>
      <c r="AO238" s="37">
        <f t="shared" si="33"/>
        <v>-57646468350</v>
      </c>
      <c r="AP238" s="20" t="s">
        <v>5398</v>
      </c>
      <c r="AT238" t="s">
        <v>25</v>
      </c>
    </row>
    <row r="239" spans="7:47">
      <c r="G239" s="2" t="s">
        <v>6705</v>
      </c>
      <c r="H239" s="3">
        <v>298481.41232</v>
      </c>
      <c r="M239" s="361" t="s">
        <v>5123</v>
      </c>
      <c r="N239" s="1">
        <v>20000000</v>
      </c>
      <c r="O239" s="374" t="s">
        <v>5435</v>
      </c>
      <c r="P239" s="374">
        <v>568</v>
      </c>
      <c r="Q239" s="18">
        <v>2639.970566</v>
      </c>
      <c r="R239" s="18">
        <f t="shared" si="29"/>
        <v>1499503.2814879999</v>
      </c>
      <c r="S239" s="399" t="s">
        <v>5446</v>
      </c>
      <c r="AA239" t="s">
        <v>25</v>
      </c>
      <c r="AJ239" s="11">
        <v>219</v>
      </c>
      <c r="AK239" s="3" t="s">
        <v>5406</v>
      </c>
      <c r="AL239" s="3">
        <v>200000</v>
      </c>
      <c r="AM239" s="11">
        <v>7</v>
      </c>
      <c r="AN239" s="20">
        <f t="shared" si="32"/>
        <v>596</v>
      </c>
      <c r="AO239" s="37">
        <f t="shared" si="33"/>
        <v>119200000</v>
      </c>
      <c r="AP239" s="20"/>
      <c r="AT239" t="s">
        <v>25</v>
      </c>
    </row>
    <row r="240" spans="7:47">
      <c r="G240" s="2" t="s">
        <v>6714</v>
      </c>
      <c r="H240" s="3">
        <v>787043.60540100001</v>
      </c>
      <c r="M240" s="361" t="s">
        <v>5197</v>
      </c>
      <c r="N240" s="1">
        <v>27694196</v>
      </c>
      <c r="O240" s="374" t="s">
        <v>5438</v>
      </c>
      <c r="P240" s="374">
        <v>4589</v>
      </c>
      <c r="Q240" s="18">
        <v>2639.970566</v>
      </c>
      <c r="R240" s="18">
        <f t="shared" si="29"/>
        <v>12114824.927374</v>
      </c>
      <c r="S240" s="399" t="s">
        <v>5447</v>
      </c>
      <c r="AJ240" s="11">
        <v>220</v>
      </c>
      <c r="AK240" s="3" t="s">
        <v>5409</v>
      </c>
      <c r="AL240" s="3">
        <v>150000</v>
      </c>
      <c r="AM240" s="11">
        <v>5</v>
      </c>
      <c r="AN240" s="20">
        <f t="shared" si="32"/>
        <v>589</v>
      </c>
      <c r="AO240" s="37">
        <f t="shared" si="33"/>
        <v>88350000</v>
      </c>
      <c r="AP240" s="20"/>
    </row>
    <row r="241" spans="7:48">
      <c r="G241" s="2" t="s">
        <v>6725</v>
      </c>
      <c r="H241" s="3">
        <v>679637.190848</v>
      </c>
      <c r="M241" s="361" t="s">
        <v>5198</v>
      </c>
      <c r="N241" s="1">
        <v>7211722</v>
      </c>
      <c r="O241" s="374" t="s">
        <v>5438</v>
      </c>
      <c r="P241" s="374">
        <v>41959</v>
      </c>
      <c r="Q241" s="18">
        <v>2639.970566</v>
      </c>
      <c r="R241" s="18">
        <f t="shared" ref="R241:R506" si="34">P241*Q241</f>
        <v>110770524.97879399</v>
      </c>
      <c r="S241" s="399" t="s">
        <v>4976</v>
      </c>
      <c r="AA241" t="s">
        <v>25</v>
      </c>
      <c r="AJ241" s="11">
        <v>221</v>
      </c>
      <c r="AK241" s="3" t="s">
        <v>5412</v>
      </c>
      <c r="AL241" s="3">
        <v>310000</v>
      </c>
      <c r="AM241" s="11">
        <v>31</v>
      </c>
      <c r="AN241" s="20">
        <f t="shared" si="32"/>
        <v>584</v>
      </c>
      <c r="AO241" s="37">
        <f t="shared" si="33"/>
        <v>181040000</v>
      </c>
      <c r="AP241" s="20"/>
      <c r="AT241" t="s">
        <v>25</v>
      </c>
    </row>
    <row r="242" spans="7:48">
      <c r="G242" s="2" t="s">
        <v>6728</v>
      </c>
      <c r="H242" s="3">
        <v>403055.30508300004</v>
      </c>
      <c r="M242" s="361" t="s">
        <v>5202</v>
      </c>
      <c r="N242" s="1">
        <v>8481864</v>
      </c>
      <c r="O242" s="374" t="s">
        <v>5449</v>
      </c>
      <c r="P242" s="374">
        <v>2486</v>
      </c>
      <c r="Q242" s="18">
        <v>2688.7156100000002</v>
      </c>
      <c r="R242" s="18">
        <f t="shared" si="34"/>
        <v>6684147.0064600008</v>
      </c>
      <c r="S242" s="399" t="s">
        <v>4976</v>
      </c>
      <c r="AJ242" s="11">
        <v>222</v>
      </c>
      <c r="AK242" s="3" t="s">
        <v>5435</v>
      </c>
      <c r="AL242" s="3">
        <v>4200000</v>
      </c>
      <c r="AM242" s="11">
        <v>53</v>
      </c>
      <c r="AN242" s="20">
        <f t="shared" si="32"/>
        <v>553</v>
      </c>
      <c r="AO242" s="37">
        <f t="shared" si="33"/>
        <v>2322600000</v>
      </c>
      <c r="AP242" s="20"/>
      <c r="AV242" t="s">
        <v>25</v>
      </c>
    </row>
    <row r="243" spans="7:48">
      <c r="G243" s="2" t="s">
        <v>6743</v>
      </c>
      <c r="H243" s="3">
        <v>477190.63777500001</v>
      </c>
      <c r="M243" s="361" t="s">
        <v>5206</v>
      </c>
      <c r="N243" s="1">
        <v>1558697</v>
      </c>
      <c r="O243" s="374" t="s">
        <v>5452</v>
      </c>
      <c r="P243" s="374">
        <v>652</v>
      </c>
      <c r="Q243" s="18">
        <v>2801.4344030000002</v>
      </c>
      <c r="R243" s="18">
        <f t="shared" si="34"/>
        <v>1826535.2307560001</v>
      </c>
      <c r="S243" s="399" t="s">
        <v>4976</v>
      </c>
      <c r="AC243" t="s">
        <v>25</v>
      </c>
      <c r="AJ243" s="11">
        <v>223</v>
      </c>
      <c r="AK243" s="3" t="s">
        <v>5485</v>
      </c>
      <c r="AL243" s="3">
        <v>260000000</v>
      </c>
      <c r="AM243" s="11">
        <v>22</v>
      </c>
      <c r="AN243" s="20">
        <f t="shared" si="32"/>
        <v>500</v>
      </c>
      <c r="AO243" s="37">
        <f t="shared" si="33"/>
        <v>130000000000</v>
      </c>
      <c r="AP243" s="20" t="s">
        <v>5486</v>
      </c>
    </row>
    <row r="244" spans="7:48">
      <c r="G244" s="2" t="s">
        <v>6745</v>
      </c>
      <c r="H244" s="3">
        <v>914936.54489999998</v>
      </c>
      <c r="M244" s="361" t="s">
        <v>5207</v>
      </c>
      <c r="N244" s="1">
        <v>9042009</v>
      </c>
      <c r="O244" s="189" t="s">
        <v>5452</v>
      </c>
      <c r="P244" s="189">
        <v>-536</v>
      </c>
      <c r="Q244" s="190">
        <v>2801.4344030000002</v>
      </c>
      <c r="R244" s="190">
        <f t="shared" si="34"/>
        <v>-1501568.8400080001</v>
      </c>
      <c r="S244" s="398" t="s">
        <v>5459</v>
      </c>
      <c r="AJ244" s="11">
        <v>224</v>
      </c>
      <c r="AK244" s="3" t="s">
        <v>5512</v>
      </c>
      <c r="AL244" s="3">
        <v>20000</v>
      </c>
      <c r="AM244" s="11">
        <v>7</v>
      </c>
      <c r="AN244" s="20">
        <f t="shared" si="32"/>
        <v>478</v>
      </c>
      <c r="AO244" s="37">
        <f t="shared" si="33"/>
        <v>9560000</v>
      </c>
      <c r="AP244" s="20"/>
      <c r="AR244" t="s">
        <v>25</v>
      </c>
    </row>
    <row r="245" spans="7:48">
      <c r="G245" s="2" t="s">
        <v>6747</v>
      </c>
      <c r="H245" s="3">
        <v>348393.04457099998</v>
      </c>
      <c r="M245" s="361" t="s">
        <v>5211</v>
      </c>
      <c r="N245" s="1">
        <v>94969</v>
      </c>
      <c r="O245" s="374" t="s">
        <v>5454</v>
      </c>
      <c r="P245" s="374">
        <v>1351</v>
      </c>
      <c r="Q245" s="18">
        <v>2647.94</v>
      </c>
      <c r="R245" s="18">
        <f t="shared" si="34"/>
        <v>3577366.94</v>
      </c>
      <c r="S245" s="399" t="s">
        <v>4976</v>
      </c>
      <c r="AJ245" s="11">
        <v>225</v>
      </c>
      <c r="AK245" s="3" t="s">
        <v>5519</v>
      </c>
      <c r="AL245" s="3">
        <v>70000</v>
      </c>
      <c r="AM245" s="11">
        <v>1</v>
      </c>
      <c r="AN245" s="20">
        <f t="shared" si="32"/>
        <v>471</v>
      </c>
      <c r="AO245" s="37">
        <f t="shared" si="33"/>
        <v>32970000</v>
      </c>
      <c r="AP245" s="20"/>
    </row>
    <row r="246" spans="7:48">
      <c r="G246" s="2" t="s">
        <v>6756</v>
      </c>
      <c r="H246" s="3">
        <v>720592.02784799994</v>
      </c>
      <c r="M246" s="361" t="s">
        <v>5211</v>
      </c>
      <c r="N246" s="1">
        <v>40000000</v>
      </c>
      <c r="O246" s="374" t="s">
        <v>5455</v>
      </c>
      <c r="P246" s="374">
        <v>8402</v>
      </c>
      <c r="Q246" s="18">
        <v>2527.8539839999999</v>
      </c>
      <c r="R246" s="18">
        <f t="shared" si="34"/>
        <v>21239029.173567999</v>
      </c>
      <c r="S246" s="399" t="s">
        <v>4976</v>
      </c>
      <c r="AJ246" s="11">
        <v>226</v>
      </c>
      <c r="AK246" s="3" t="s">
        <v>5525</v>
      </c>
      <c r="AL246" s="3">
        <v>330000</v>
      </c>
      <c r="AM246" s="11">
        <v>1</v>
      </c>
      <c r="AN246" s="20">
        <f t="shared" si="32"/>
        <v>470</v>
      </c>
      <c r="AO246" s="37">
        <f t="shared" si="33"/>
        <v>155100000</v>
      </c>
      <c r="AP246" s="20"/>
    </row>
    <row r="247" spans="7:48">
      <c r="G247" s="2" t="s">
        <v>6757</v>
      </c>
      <c r="H247" s="3">
        <v>870021.48342200008</v>
      </c>
      <c r="M247" s="361" t="s">
        <v>5212</v>
      </c>
      <c r="N247" s="1">
        <v>2806274</v>
      </c>
      <c r="O247" s="374" t="s">
        <v>5457</v>
      </c>
      <c r="P247" s="374">
        <v>98141</v>
      </c>
      <c r="Q247" s="18">
        <v>2475.593813</v>
      </c>
      <c r="R247" s="18">
        <f t="shared" si="34"/>
        <v>242957252.40163299</v>
      </c>
      <c r="S247" s="399" t="s">
        <v>4976</v>
      </c>
      <c r="AJ247" s="11">
        <v>227</v>
      </c>
      <c r="AK247" s="3" t="s">
        <v>5601</v>
      </c>
      <c r="AL247" s="3">
        <v>33833075</v>
      </c>
      <c r="AM247" s="11">
        <v>18</v>
      </c>
      <c r="AN247" s="20">
        <f t="shared" si="32"/>
        <v>469</v>
      </c>
      <c r="AO247" s="37">
        <f t="shared" si="33"/>
        <v>15867712175</v>
      </c>
      <c r="AP247" s="20" t="s">
        <v>5604</v>
      </c>
    </row>
    <row r="248" spans="7:48">
      <c r="G248" s="2" t="s">
        <v>6758</v>
      </c>
      <c r="H248" s="3">
        <v>379028.51315999997</v>
      </c>
      <c r="M248" s="361" t="s">
        <v>5220</v>
      </c>
      <c r="N248" s="1">
        <v>1331702</v>
      </c>
      <c r="O248" s="374" t="s">
        <v>5460</v>
      </c>
      <c r="P248" s="374">
        <v>2910</v>
      </c>
      <c r="Q248" s="18">
        <v>2528.240988</v>
      </c>
      <c r="R248" s="18">
        <f t="shared" si="34"/>
        <v>7357181.2750800001</v>
      </c>
      <c r="S248" s="399" t="s">
        <v>4976</v>
      </c>
      <c r="AJ248" s="11">
        <v>228</v>
      </c>
      <c r="AK248" s="3" t="s">
        <v>5611</v>
      </c>
      <c r="AL248" s="3">
        <v>150000</v>
      </c>
      <c r="AM248" s="11">
        <v>10</v>
      </c>
      <c r="AN248" s="20">
        <f t="shared" si="32"/>
        <v>451</v>
      </c>
      <c r="AO248" s="37">
        <f t="shared" si="33"/>
        <v>67650000</v>
      </c>
      <c r="AP248" s="20"/>
    </row>
    <row r="249" spans="7:48">
      <c r="G249" s="2" t="s">
        <v>6732</v>
      </c>
      <c r="H249" s="3">
        <v>727150.09922600002</v>
      </c>
      <c r="M249" s="361" t="s">
        <v>5252</v>
      </c>
      <c r="N249" s="1">
        <v>851238</v>
      </c>
      <c r="O249" s="374" t="s">
        <v>5462</v>
      </c>
      <c r="P249" s="374">
        <v>5652</v>
      </c>
      <c r="Q249" s="18">
        <v>2645.3312000000001</v>
      </c>
      <c r="R249" s="18">
        <f t="shared" si="34"/>
        <v>14951411.942400001</v>
      </c>
      <c r="S249" s="399" t="s">
        <v>4976</v>
      </c>
      <c r="AJ249" s="11">
        <v>229</v>
      </c>
      <c r="AK249" s="3" t="s">
        <v>5616</v>
      </c>
      <c r="AL249" s="3">
        <v>-341847876.93843603</v>
      </c>
      <c r="AM249" s="11">
        <v>1</v>
      </c>
      <c r="AN249" s="20">
        <f t="shared" si="32"/>
        <v>441</v>
      </c>
      <c r="AO249" s="37">
        <f t="shared" si="33"/>
        <v>-150754913729.85028</v>
      </c>
      <c r="AP249" s="20" t="s">
        <v>4615</v>
      </c>
      <c r="AR249" t="s">
        <v>25</v>
      </c>
    </row>
    <row r="250" spans="7:48" ht="20.25" customHeight="1">
      <c r="G250" s="2" t="s">
        <v>6803</v>
      </c>
      <c r="H250" s="3">
        <v>8677446.9972630013</v>
      </c>
      <c r="M250" s="361" t="s">
        <v>5293</v>
      </c>
      <c r="N250" s="1">
        <v>652592</v>
      </c>
      <c r="O250" s="374" t="s">
        <v>5464</v>
      </c>
      <c r="P250" s="374">
        <v>18764</v>
      </c>
      <c r="Q250" s="18">
        <v>2554.2639829999998</v>
      </c>
      <c r="R250" s="18">
        <f t="shared" si="34"/>
        <v>47928209.377011999</v>
      </c>
      <c r="S250" s="399" t="s">
        <v>4976</v>
      </c>
      <c r="AJ250" s="11">
        <v>230</v>
      </c>
      <c r="AK250" s="3" t="s">
        <v>5626</v>
      </c>
      <c r="AL250" s="3">
        <v>100000000</v>
      </c>
      <c r="AM250" s="11">
        <v>0</v>
      </c>
      <c r="AN250" s="20">
        <f t="shared" si="32"/>
        <v>440</v>
      </c>
      <c r="AO250" s="37">
        <f t="shared" si="33"/>
        <v>44000000000</v>
      </c>
      <c r="AP250" s="20" t="s">
        <v>5627</v>
      </c>
    </row>
    <row r="251" spans="7:48" ht="30">
      <c r="G251" s="2" t="s">
        <v>6805</v>
      </c>
      <c r="H251" s="3">
        <v>3889315.7145719999</v>
      </c>
      <c r="M251" s="361" t="s">
        <v>5294</v>
      </c>
      <c r="N251" s="1">
        <v>554139</v>
      </c>
      <c r="O251" s="374" t="s">
        <v>5465</v>
      </c>
      <c r="P251" s="374">
        <v>930</v>
      </c>
      <c r="Q251" s="18">
        <v>2453.3287089999999</v>
      </c>
      <c r="R251" s="18">
        <f t="shared" si="34"/>
        <v>2281595.69937</v>
      </c>
      <c r="S251" s="399" t="s">
        <v>4976</v>
      </c>
      <c r="AJ251" s="11">
        <v>231</v>
      </c>
      <c r="AK251" s="3" t="s">
        <v>5626</v>
      </c>
      <c r="AL251" s="3">
        <v>-100000000</v>
      </c>
      <c r="AM251" s="11">
        <v>1</v>
      </c>
      <c r="AN251" s="20">
        <f t="shared" si="32"/>
        <v>440</v>
      </c>
      <c r="AO251" s="37">
        <f t="shared" si="33"/>
        <v>-44000000000</v>
      </c>
      <c r="AP251" s="188" t="s">
        <v>5628</v>
      </c>
    </row>
    <row r="252" spans="7:48">
      <c r="G252" s="2" t="s">
        <v>6818</v>
      </c>
      <c r="H252" s="3">
        <v>6760129.9060710007</v>
      </c>
      <c r="M252" s="361" t="s">
        <v>5295</v>
      </c>
      <c r="N252" s="1">
        <v>70373089</v>
      </c>
      <c r="O252" s="374" t="s">
        <v>5466</v>
      </c>
      <c r="P252" s="374">
        <v>1167</v>
      </c>
      <c r="Q252" s="18">
        <v>2540.6307069999998</v>
      </c>
      <c r="R252" s="18">
        <f t="shared" si="34"/>
        <v>2964916.035069</v>
      </c>
      <c r="S252" s="399" t="s">
        <v>4976</v>
      </c>
      <c r="AJ252" s="11">
        <v>232</v>
      </c>
      <c r="AK252" s="3" t="s">
        <v>5629</v>
      </c>
      <c r="AL252" s="3">
        <v>90000000</v>
      </c>
      <c r="AM252" s="11">
        <v>0</v>
      </c>
      <c r="AN252" s="20">
        <f t="shared" si="32"/>
        <v>439</v>
      </c>
      <c r="AO252" s="37">
        <f t="shared" si="33"/>
        <v>39510000000</v>
      </c>
      <c r="AP252" s="20"/>
    </row>
    <row r="253" spans="7:48" ht="30">
      <c r="G253" s="2" t="s">
        <v>6820</v>
      </c>
      <c r="H253" s="3">
        <v>9916796.5079399999</v>
      </c>
      <c r="M253" s="361" t="s">
        <v>5296</v>
      </c>
      <c r="N253" s="1">
        <v>1219655</v>
      </c>
      <c r="O253" s="374" t="s">
        <v>5467</v>
      </c>
      <c r="P253" s="374">
        <v>2538</v>
      </c>
      <c r="Q253" s="18">
        <v>2545.5277489999999</v>
      </c>
      <c r="R253" s="18">
        <f t="shared" si="34"/>
        <v>6460549.4269619994</v>
      </c>
      <c r="S253" s="399" t="s">
        <v>4976</v>
      </c>
      <c r="AJ253" s="11">
        <v>233</v>
      </c>
      <c r="AK253" s="3" t="s">
        <v>5629</v>
      </c>
      <c r="AL253" s="3">
        <v>-90000000</v>
      </c>
      <c r="AM253" s="11">
        <v>1</v>
      </c>
      <c r="AN253" s="20">
        <f t="shared" si="32"/>
        <v>439</v>
      </c>
      <c r="AO253" s="37">
        <f t="shared" si="33"/>
        <v>-39510000000</v>
      </c>
      <c r="AP253" s="188" t="s">
        <v>5630</v>
      </c>
      <c r="AS253" t="s">
        <v>25</v>
      </c>
      <c r="AU253" t="s">
        <v>25</v>
      </c>
    </row>
    <row r="254" spans="7:48">
      <c r="G254" s="2" t="s">
        <v>6822</v>
      </c>
      <c r="H254" s="3">
        <v>968734.90064999997</v>
      </c>
      <c r="M254" s="361" t="s">
        <v>5297</v>
      </c>
      <c r="N254" s="1">
        <v>15350146</v>
      </c>
      <c r="O254" s="374" t="s">
        <v>5468</v>
      </c>
      <c r="P254" s="374">
        <v>2106</v>
      </c>
      <c r="Q254" s="18">
        <v>2474.9857059999999</v>
      </c>
      <c r="R254" s="18">
        <f t="shared" si="34"/>
        <v>5212319.8968359996</v>
      </c>
      <c r="S254" s="399" t="s">
        <v>4976</v>
      </c>
      <c r="AJ254" s="11">
        <v>234</v>
      </c>
      <c r="AK254" s="3" t="s">
        <v>5631</v>
      </c>
      <c r="AL254" s="3">
        <v>30000000</v>
      </c>
      <c r="AM254" s="11">
        <v>0</v>
      </c>
      <c r="AN254" s="20">
        <f t="shared" si="32"/>
        <v>438</v>
      </c>
      <c r="AO254" s="37">
        <f t="shared" si="33"/>
        <v>13140000000</v>
      </c>
      <c r="AP254" s="188"/>
    </row>
    <row r="255" spans="7:48" ht="30">
      <c r="G255" s="2" t="s">
        <v>6824</v>
      </c>
      <c r="H255" s="3">
        <v>761939.35763300001</v>
      </c>
      <c r="M255" s="361" t="s">
        <v>5301</v>
      </c>
      <c r="N255" s="1">
        <v>121018</v>
      </c>
      <c r="O255" s="374" t="s">
        <v>5470</v>
      </c>
      <c r="P255" s="374">
        <v>1801</v>
      </c>
      <c r="Q255" s="18">
        <v>2512.2134809999998</v>
      </c>
      <c r="R255" s="18">
        <f t="shared" si="34"/>
        <v>4524496.4792809999</v>
      </c>
      <c r="S255" s="399" t="s">
        <v>4976</v>
      </c>
      <c r="AJ255" s="11">
        <v>235</v>
      </c>
      <c r="AK255" s="3" t="s">
        <v>5631</v>
      </c>
      <c r="AL255" s="3">
        <v>-30000000</v>
      </c>
      <c r="AM255" s="11">
        <v>3</v>
      </c>
      <c r="AN255" s="20">
        <f t="shared" si="32"/>
        <v>438</v>
      </c>
      <c r="AO255" s="37">
        <f t="shared" si="33"/>
        <v>-13140000000</v>
      </c>
      <c r="AP255" s="188" t="s">
        <v>5632</v>
      </c>
    </row>
    <row r="256" spans="7:48">
      <c r="G256" s="2" t="s">
        <v>6825</v>
      </c>
      <c r="H256" s="3">
        <v>3631828.8870270001</v>
      </c>
      <c r="M256" s="361" t="s">
        <v>5306</v>
      </c>
      <c r="N256" s="1">
        <v>1024993</v>
      </c>
      <c r="O256" s="374" t="s">
        <v>5471</v>
      </c>
      <c r="P256" s="374">
        <v>9184</v>
      </c>
      <c r="Q256" s="18">
        <v>2489.76919</v>
      </c>
      <c r="R256" s="18">
        <f t="shared" si="34"/>
        <v>22866040.240959998</v>
      </c>
      <c r="S256" s="399" t="s">
        <v>4976</v>
      </c>
      <c r="AJ256" s="11">
        <v>236</v>
      </c>
      <c r="AK256" s="3" t="s">
        <v>5638</v>
      </c>
      <c r="AL256" s="3">
        <v>50000000</v>
      </c>
      <c r="AM256" s="11">
        <v>1</v>
      </c>
      <c r="AN256" s="20">
        <f t="shared" si="32"/>
        <v>435</v>
      </c>
      <c r="AO256" s="37">
        <f t="shared" si="33"/>
        <v>21750000000</v>
      </c>
      <c r="AP256" s="188"/>
    </row>
    <row r="257" spans="7:47" ht="30">
      <c r="G257" s="2" t="s">
        <v>6830</v>
      </c>
      <c r="H257" s="3">
        <v>1797773.921844</v>
      </c>
      <c r="M257" s="361" t="s">
        <v>5307</v>
      </c>
      <c r="N257" s="1">
        <v>1948077</v>
      </c>
      <c r="O257" s="374" t="s">
        <v>5472</v>
      </c>
      <c r="P257" s="374">
        <v>6259</v>
      </c>
      <c r="Q257" s="18">
        <v>2453.954988</v>
      </c>
      <c r="R257" s="18">
        <f t="shared" si="34"/>
        <v>15359304.269892</v>
      </c>
      <c r="S257" s="399" t="s">
        <v>4976</v>
      </c>
      <c r="AJ257" s="11">
        <v>237</v>
      </c>
      <c r="AK257" s="3" t="s">
        <v>5639</v>
      </c>
      <c r="AL257" s="3">
        <v>-50000000</v>
      </c>
      <c r="AM257" s="11">
        <v>5</v>
      </c>
      <c r="AN257" s="20">
        <f t="shared" si="32"/>
        <v>434</v>
      </c>
      <c r="AO257" s="37">
        <f t="shared" si="33"/>
        <v>-21700000000</v>
      </c>
      <c r="AP257" s="188" t="s">
        <v>5640</v>
      </c>
      <c r="AR257" t="s">
        <v>25</v>
      </c>
    </row>
    <row r="258" spans="7:47">
      <c r="G258" s="2" t="s">
        <v>6833</v>
      </c>
      <c r="H258" s="3">
        <v>4297159.3427689997</v>
      </c>
      <c r="M258" s="361" t="s">
        <v>5308</v>
      </c>
      <c r="N258" s="1">
        <v>50000120</v>
      </c>
      <c r="O258" s="374" t="s">
        <v>5474</v>
      </c>
      <c r="P258" s="374">
        <v>1223</v>
      </c>
      <c r="Q258" s="18">
        <v>2345.4686710000001</v>
      </c>
      <c r="R258" s="18">
        <f t="shared" si="34"/>
        <v>2868508.1846330003</v>
      </c>
      <c r="S258" s="399" t="s">
        <v>4976</v>
      </c>
      <c r="AA258" t="s">
        <v>25</v>
      </c>
      <c r="AJ258" s="11">
        <v>238</v>
      </c>
      <c r="AK258" s="3" t="s">
        <v>5985</v>
      </c>
      <c r="AL258" s="3">
        <v>10000</v>
      </c>
      <c r="AM258" s="11">
        <v>1</v>
      </c>
      <c r="AN258" s="20">
        <f t="shared" si="32"/>
        <v>429</v>
      </c>
      <c r="AO258" s="37">
        <f t="shared" si="33"/>
        <v>4290000</v>
      </c>
      <c r="AP258" s="188"/>
    </row>
    <row r="259" spans="7:47" ht="15" customHeight="1">
      <c r="G259" s="2" t="s">
        <v>6835</v>
      </c>
      <c r="H259" s="3">
        <v>4765717.1413799999</v>
      </c>
      <c r="M259" s="361" t="s">
        <v>5322</v>
      </c>
      <c r="N259" s="1">
        <v>20000055</v>
      </c>
      <c r="O259" s="374" t="s">
        <v>5475</v>
      </c>
      <c r="P259" s="374">
        <v>7804</v>
      </c>
      <c r="Q259" s="18">
        <v>2236.0831640000001</v>
      </c>
      <c r="R259" s="18">
        <f t="shared" si="34"/>
        <v>17450393.011856001</v>
      </c>
      <c r="S259" s="399" t="s">
        <v>4976</v>
      </c>
      <c r="AJ259" s="11">
        <v>239</v>
      </c>
      <c r="AK259" s="3" t="s">
        <v>5986</v>
      </c>
      <c r="AL259" s="3">
        <v>50000000</v>
      </c>
      <c r="AM259" s="11">
        <v>43</v>
      </c>
      <c r="AN259" s="20">
        <f t="shared" si="32"/>
        <v>428</v>
      </c>
      <c r="AO259" s="37">
        <f t="shared" si="33"/>
        <v>21400000000</v>
      </c>
      <c r="AP259" s="188" t="s">
        <v>5214</v>
      </c>
    </row>
    <row r="260" spans="7:47">
      <c r="G260" s="2" t="s">
        <v>6840</v>
      </c>
      <c r="H260" s="3">
        <v>3715272.2289780001</v>
      </c>
      <c r="M260" s="361" t="s">
        <v>5323</v>
      </c>
      <c r="N260" s="1">
        <v>5745697</v>
      </c>
      <c r="O260" s="374" t="s">
        <v>5476</v>
      </c>
      <c r="P260" s="374">
        <v>14589</v>
      </c>
      <c r="Q260" s="18">
        <v>2151.5486500000002</v>
      </c>
      <c r="R260" s="18">
        <f t="shared" si="34"/>
        <v>31388943.254850004</v>
      </c>
      <c r="S260" s="399" t="s">
        <v>4976</v>
      </c>
      <c r="AJ260" s="11">
        <v>240</v>
      </c>
      <c r="AK260" s="3" t="s">
        <v>6029</v>
      </c>
      <c r="AL260" s="3">
        <v>50000000</v>
      </c>
      <c r="AM260" s="11">
        <v>10</v>
      </c>
      <c r="AN260" s="20">
        <f t="shared" si="32"/>
        <v>385</v>
      </c>
      <c r="AO260" s="37">
        <f t="shared" si="33"/>
        <v>19250000000</v>
      </c>
      <c r="AP260" s="188" t="s">
        <v>6030</v>
      </c>
    </row>
    <row r="261" spans="7:47">
      <c r="G261" s="2" t="s">
        <v>6841</v>
      </c>
      <c r="H261" s="3">
        <v>8572204.2709120009</v>
      </c>
      <c r="M261" s="361" t="s">
        <v>5324</v>
      </c>
      <c r="N261" s="1">
        <v>908158</v>
      </c>
      <c r="O261" s="374" t="s">
        <v>5477</v>
      </c>
      <c r="P261" s="374">
        <v>14741</v>
      </c>
      <c r="Q261" s="18">
        <v>2097.0148140000001</v>
      </c>
      <c r="R261" s="18">
        <f t="shared" si="34"/>
        <v>30912095.373174001</v>
      </c>
      <c r="S261" s="399" t="s">
        <v>4976</v>
      </c>
      <c r="AJ261" s="11">
        <v>241</v>
      </c>
      <c r="AK261" s="3" t="s">
        <v>6031</v>
      </c>
      <c r="AL261" s="3">
        <v>8200000</v>
      </c>
      <c r="AM261" s="11">
        <v>29</v>
      </c>
      <c r="AN261" s="20">
        <f t="shared" si="32"/>
        <v>375</v>
      </c>
      <c r="AO261" s="37">
        <f t="shared" si="33"/>
        <v>3075000000</v>
      </c>
      <c r="AP261" s="188" t="s">
        <v>6030</v>
      </c>
      <c r="AT261" t="s">
        <v>25</v>
      </c>
      <c r="AU261" t="s">
        <v>25</v>
      </c>
    </row>
    <row r="262" spans="7:47">
      <c r="G262" s="2" t="s">
        <v>6842</v>
      </c>
      <c r="H262" s="3">
        <v>5003571.3628719999</v>
      </c>
      <c r="M262" s="361" t="s">
        <v>5325</v>
      </c>
      <c r="N262" s="1">
        <v>12642697</v>
      </c>
      <c r="O262" s="374" t="s">
        <v>5479</v>
      </c>
      <c r="P262" s="374">
        <v>10237</v>
      </c>
      <c r="Q262" s="18">
        <v>1914.9092619999999</v>
      </c>
      <c r="R262" s="18">
        <f t="shared" si="34"/>
        <v>19602926.115093999</v>
      </c>
      <c r="S262" s="399" t="s">
        <v>4976</v>
      </c>
      <c r="AA262" t="s">
        <v>25</v>
      </c>
      <c r="AJ262" s="11">
        <v>242</v>
      </c>
      <c r="AK262" s="3" t="s">
        <v>6058</v>
      </c>
      <c r="AL262" s="3">
        <v>-180000000</v>
      </c>
      <c r="AM262" s="11">
        <v>16</v>
      </c>
      <c r="AN262" s="20">
        <f t="shared" si="32"/>
        <v>346</v>
      </c>
      <c r="AO262" s="37">
        <f t="shared" si="33"/>
        <v>-62280000000</v>
      </c>
      <c r="AP262" s="188" t="s">
        <v>6060</v>
      </c>
    </row>
    <row r="263" spans="7:47" ht="17.25" customHeight="1">
      <c r="G263" s="2" t="s">
        <v>6846</v>
      </c>
      <c r="H263" s="3">
        <v>4813787.1121500004</v>
      </c>
      <c r="M263" s="361" t="s">
        <v>5326</v>
      </c>
      <c r="N263" s="1">
        <v>12297317.81435</v>
      </c>
      <c r="O263" s="374" t="s">
        <v>5480</v>
      </c>
      <c r="P263" s="374">
        <v>19211</v>
      </c>
      <c r="Q263" s="18">
        <v>1793.6906100000001</v>
      </c>
      <c r="R263" s="18">
        <f t="shared" si="34"/>
        <v>34458590.308710001</v>
      </c>
      <c r="S263" s="399" t="s">
        <v>4976</v>
      </c>
      <c r="AJ263" s="11">
        <v>243</v>
      </c>
      <c r="AK263" s="3" t="s">
        <v>6157</v>
      </c>
      <c r="AL263" s="3">
        <v>60000000</v>
      </c>
      <c r="AM263" s="11">
        <v>6</v>
      </c>
      <c r="AN263" s="20">
        <f t="shared" si="32"/>
        <v>330</v>
      </c>
      <c r="AO263" s="37">
        <f t="shared" si="33"/>
        <v>19800000000</v>
      </c>
      <c r="AP263" s="188" t="s">
        <v>6158</v>
      </c>
      <c r="AU263" t="s">
        <v>25</v>
      </c>
    </row>
    <row r="264" spans="7:47">
      <c r="G264" s="2" t="s">
        <v>6846</v>
      </c>
      <c r="H264" s="3">
        <v>44213627.939580001</v>
      </c>
      <c r="M264" s="361" t="s">
        <v>5327</v>
      </c>
      <c r="N264" s="1">
        <v>8959643.8508579992</v>
      </c>
      <c r="O264" s="374" t="s">
        <v>5481</v>
      </c>
      <c r="P264" s="374">
        <v>11599</v>
      </c>
      <c r="Q264" s="18">
        <v>1870.667144</v>
      </c>
      <c r="R264" s="18">
        <f t="shared" si="34"/>
        <v>21697868.203256</v>
      </c>
      <c r="S264" s="399" t="s">
        <v>4976</v>
      </c>
      <c r="AJ264" s="11">
        <v>244</v>
      </c>
      <c r="AK264" s="3" t="s">
        <v>6165</v>
      </c>
      <c r="AL264" s="3">
        <v>5000</v>
      </c>
      <c r="AM264" s="11">
        <v>8</v>
      </c>
      <c r="AN264" s="20">
        <f t="shared" si="32"/>
        <v>324</v>
      </c>
      <c r="AO264" s="37">
        <f t="shared" si="33"/>
        <v>1620000</v>
      </c>
      <c r="AP264" s="188" t="s">
        <v>6030</v>
      </c>
    </row>
    <row r="265" spans="7:47">
      <c r="G265" s="2" t="s">
        <v>6848</v>
      </c>
      <c r="H265" s="3">
        <v>6396520.1381280003</v>
      </c>
      <c r="M265" s="361" t="s">
        <v>5342</v>
      </c>
      <c r="N265" s="1">
        <v>15154095.839328</v>
      </c>
      <c r="O265" s="374" t="s">
        <v>5482</v>
      </c>
      <c r="P265" s="374">
        <v>14098</v>
      </c>
      <c r="Q265" s="18">
        <v>1797.423695</v>
      </c>
      <c r="R265" s="18">
        <f t="shared" si="34"/>
        <v>25340079.252110001</v>
      </c>
      <c r="S265" s="399" t="s">
        <v>4976</v>
      </c>
      <c r="AA265" t="s">
        <v>25</v>
      </c>
      <c r="AJ265" s="11">
        <v>245</v>
      </c>
      <c r="AK265" s="3" t="s">
        <v>6166</v>
      </c>
      <c r="AL265" s="3">
        <v>102750000</v>
      </c>
      <c r="AM265" s="11">
        <v>5</v>
      </c>
      <c r="AN265" s="20">
        <f t="shared" si="32"/>
        <v>316</v>
      </c>
      <c r="AO265" s="37">
        <f t="shared" si="33"/>
        <v>32469000000</v>
      </c>
      <c r="AP265" s="188"/>
    </row>
    <row r="266" spans="7:47" ht="30">
      <c r="G266" s="2" t="s">
        <v>6850</v>
      </c>
      <c r="H266" s="3">
        <v>10752710.353308</v>
      </c>
      <c r="M266" s="361" t="s">
        <v>5343</v>
      </c>
      <c r="N266" s="1">
        <v>50725508.571864001</v>
      </c>
      <c r="O266" s="374" t="s">
        <v>5483</v>
      </c>
      <c r="P266" s="374">
        <v>8497</v>
      </c>
      <c r="Q266" s="18">
        <v>1739.5531579999999</v>
      </c>
      <c r="R266" s="18">
        <f t="shared" si="34"/>
        <v>14780983.183526</v>
      </c>
      <c r="S266" s="399" t="s">
        <v>4976</v>
      </c>
      <c r="AJ266" s="11">
        <v>246</v>
      </c>
      <c r="AK266" s="3" t="s">
        <v>6171</v>
      </c>
      <c r="AL266" s="3">
        <v>-60000000</v>
      </c>
      <c r="AM266" s="11">
        <v>42</v>
      </c>
      <c r="AN266" s="20">
        <f t="shared" si="32"/>
        <v>311</v>
      </c>
      <c r="AO266" s="37">
        <f t="shared" si="33"/>
        <v>-18660000000</v>
      </c>
      <c r="AP266" s="188" t="s">
        <v>6175</v>
      </c>
    </row>
    <row r="267" spans="7:47" ht="20.25" customHeight="1">
      <c r="G267" s="2" t="s">
        <v>6855</v>
      </c>
      <c r="H267" s="3">
        <v>25378123.030598</v>
      </c>
      <c r="M267" s="361" t="s">
        <v>5350</v>
      </c>
      <c r="N267" s="1">
        <v>2281961.458596</v>
      </c>
      <c r="O267" s="207" t="s">
        <v>5485</v>
      </c>
      <c r="P267" s="207">
        <v>163820</v>
      </c>
      <c r="Q267" s="277">
        <v>1588.685326</v>
      </c>
      <c r="R267" s="277">
        <f t="shared" si="34"/>
        <v>260258430.10532001</v>
      </c>
      <c r="S267" s="401" t="s">
        <v>5487</v>
      </c>
      <c r="AJ267" s="11">
        <v>247</v>
      </c>
      <c r="AK267" s="3" t="s">
        <v>6473</v>
      </c>
      <c r="AL267" s="3">
        <v>50000</v>
      </c>
      <c r="AM267" s="11">
        <v>59</v>
      </c>
      <c r="AN267" s="20">
        <f t="shared" si="32"/>
        <v>269</v>
      </c>
      <c r="AO267" s="37">
        <f t="shared" si="33"/>
        <v>13450000</v>
      </c>
      <c r="AP267" s="188" t="s">
        <v>6030</v>
      </c>
      <c r="AU267" t="s">
        <v>25</v>
      </c>
    </row>
    <row r="268" spans="7:47">
      <c r="G268" s="2" t="s">
        <v>6839</v>
      </c>
      <c r="H268" s="3">
        <v>4844410.7196660005</v>
      </c>
      <c r="M268" s="361" t="s">
        <v>5351</v>
      </c>
      <c r="N268" s="1">
        <v>10998285</v>
      </c>
      <c r="O268" s="374" t="s">
        <v>5485</v>
      </c>
      <c r="P268" s="374">
        <v>11207</v>
      </c>
      <c r="Q268" s="18">
        <v>1588.685326</v>
      </c>
      <c r="R268" s="18">
        <f t="shared" si="34"/>
        <v>17804396.448481999</v>
      </c>
      <c r="S268" s="399" t="s">
        <v>4976</v>
      </c>
      <c r="AJ268" s="11">
        <v>248</v>
      </c>
      <c r="AK268" s="3" t="s">
        <v>6587</v>
      </c>
      <c r="AL268" s="3">
        <v>300000</v>
      </c>
      <c r="AM268" s="11">
        <v>55</v>
      </c>
      <c r="AN268" s="20">
        <f t="shared" si="32"/>
        <v>210</v>
      </c>
      <c r="AO268" s="37">
        <f t="shared" si="33"/>
        <v>63000000</v>
      </c>
      <c r="AP268" s="188"/>
    </row>
    <row r="269" spans="7:47" ht="21.75" customHeight="1">
      <c r="G269" s="2" t="s">
        <v>6862</v>
      </c>
      <c r="H269" s="3">
        <v>4641284</v>
      </c>
      <c r="M269" s="361" t="s">
        <v>5353</v>
      </c>
      <c r="N269" s="1">
        <v>983018.96187300002</v>
      </c>
      <c r="O269" s="374" t="s">
        <v>5488</v>
      </c>
      <c r="P269" s="374">
        <v>7198</v>
      </c>
      <c r="Q269" s="18">
        <v>1602.9918909999999</v>
      </c>
      <c r="R269" s="18">
        <f t="shared" si="34"/>
        <v>11538335.631417999</v>
      </c>
      <c r="S269" s="399" t="s">
        <v>4976</v>
      </c>
      <c r="AA269" t="s">
        <v>25</v>
      </c>
      <c r="AJ269" s="11">
        <v>249</v>
      </c>
      <c r="AK269" s="3" t="s">
        <v>6611</v>
      </c>
      <c r="AL269" s="3">
        <v>200000000</v>
      </c>
      <c r="AM269" s="11">
        <v>7</v>
      </c>
      <c r="AN269" s="20">
        <f t="shared" si="32"/>
        <v>155</v>
      </c>
      <c r="AO269" s="37">
        <f t="shared" si="33"/>
        <v>31000000000</v>
      </c>
      <c r="AP269" s="188" t="s">
        <v>6612</v>
      </c>
    </row>
    <row r="270" spans="7:47">
      <c r="G270" s="2" t="s">
        <v>6864</v>
      </c>
      <c r="H270" s="3">
        <v>2066743.6704459998</v>
      </c>
      <c r="M270" s="361" t="s">
        <v>5356</v>
      </c>
      <c r="N270" s="1">
        <v>17049271.032000002</v>
      </c>
      <c r="O270" s="374" t="s">
        <v>5489</v>
      </c>
      <c r="P270" s="374">
        <v>7804</v>
      </c>
      <c r="Q270" s="18">
        <v>1592.7111440000001</v>
      </c>
      <c r="R270" s="18">
        <f t="shared" si="34"/>
        <v>12429517.767776001</v>
      </c>
      <c r="S270" s="399" t="s">
        <v>4976</v>
      </c>
      <c r="AA270" t="s">
        <v>25</v>
      </c>
      <c r="AJ270" s="11">
        <v>250</v>
      </c>
      <c r="AK270" s="3" t="s">
        <v>6615</v>
      </c>
      <c r="AL270" s="3">
        <v>50000</v>
      </c>
      <c r="AM270" s="11">
        <v>83</v>
      </c>
      <c r="AN270" s="20">
        <f t="shared" si="32"/>
        <v>148</v>
      </c>
      <c r="AO270" s="37">
        <f t="shared" si="33"/>
        <v>7400000</v>
      </c>
      <c r="AP270" s="20" t="s">
        <v>6030</v>
      </c>
    </row>
    <row r="271" spans="7:47">
      <c r="G271" s="2" t="s">
        <v>6868</v>
      </c>
      <c r="H271" s="3">
        <v>1783900.3856240001</v>
      </c>
      <c r="M271" s="361" t="s">
        <v>4127</v>
      </c>
      <c r="N271" s="1">
        <v>6829998</v>
      </c>
      <c r="O271" s="374" t="s">
        <v>5497</v>
      </c>
      <c r="P271" s="374">
        <v>2827</v>
      </c>
      <c r="Q271" s="18">
        <v>1779.6874809999999</v>
      </c>
      <c r="R271" s="18">
        <f t="shared" si="34"/>
        <v>5031176.5087869996</v>
      </c>
      <c r="S271" s="399" t="s">
        <v>4976</v>
      </c>
      <c r="AE271" t="s">
        <v>25</v>
      </c>
      <c r="AJ271" s="11">
        <v>251</v>
      </c>
      <c r="AK271" s="3" t="s">
        <v>6659</v>
      </c>
      <c r="AL271" s="3">
        <v>20000000</v>
      </c>
      <c r="AM271" s="11">
        <v>0</v>
      </c>
      <c r="AN271" s="20">
        <f t="shared" si="32"/>
        <v>65</v>
      </c>
      <c r="AO271" s="37">
        <f t="shared" si="33"/>
        <v>1300000000</v>
      </c>
      <c r="AP271" s="20" t="s">
        <v>6665</v>
      </c>
      <c r="AT271" t="s">
        <v>25</v>
      </c>
    </row>
    <row r="272" spans="7:47">
      <c r="G272" s="2" t="s">
        <v>6869</v>
      </c>
      <c r="H272" s="3">
        <v>2444730.4589760001</v>
      </c>
      <c r="M272" s="361" t="s">
        <v>5373</v>
      </c>
      <c r="N272" s="1">
        <v>6982608.8207999999</v>
      </c>
      <c r="O272" s="374" t="s">
        <v>5499</v>
      </c>
      <c r="P272" s="374">
        <v>3385</v>
      </c>
      <c r="Q272" s="18">
        <v>2015.5993820000001</v>
      </c>
      <c r="R272" s="18">
        <f t="shared" si="34"/>
        <v>6822803.9080700008</v>
      </c>
      <c r="S272" s="399" t="s">
        <v>4976</v>
      </c>
      <c r="AA272" t="s">
        <v>25</v>
      </c>
      <c r="AJ272" s="11">
        <v>252</v>
      </c>
      <c r="AK272" s="3" t="s">
        <v>6664</v>
      </c>
      <c r="AL272" s="3">
        <v>-562402000</v>
      </c>
      <c r="AM272" s="11">
        <v>1</v>
      </c>
      <c r="AN272" s="20">
        <f t="shared" si="32"/>
        <v>65</v>
      </c>
      <c r="AO272" s="37">
        <f t="shared" si="33"/>
        <v>-36556130000</v>
      </c>
      <c r="AP272" s="20" t="s">
        <v>6666</v>
      </c>
    </row>
    <row r="273" spans="7:48">
      <c r="G273" s="2" t="s">
        <v>6870</v>
      </c>
      <c r="H273" s="3">
        <v>11150477.068770001</v>
      </c>
      <c r="M273" s="361" t="s">
        <v>5378</v>
      </c>
      <c r="N273" s="1">
        <v>7510131.0216000006</v>
      </c>
      <c r="O273" s="374" t="s">
        <v>5503</v>
      </c>
      <c r="P273" s="374">
        <v>158</v>
      </c>
      <c r="Q273" s="18">
        <v>2094.2388179999998</v>
      </c>
      <c r="R273" s="18">
        <f t="shared" si="34"/>
        <v>330889.73324399994</v>
      </c>
      <c r="S273" s="399" t="s">
        <v>4976</v>
      </c>
      <c r="AA273" t="s">
        <v>25</v>
      </c>
      <c r="AJ273" s="11">
        <v>253</v>
      </c>
      <c r="AK273" s="3" t="s">
        <v>6667</v>
      </c>
      <c r="AL273" s="3">
        <v>30000000</v>
      </c>
      <c r="AM273" s="11">
        <v>1</v>
      </c>
      <c r="AN273" s="20">
        <f t="shared" si="32"/>
        <v>64</v>
      </c>
      <c r="AO273" s="37">
        <f t="shared" si="33"/>
        <v>1920000000</v>
      </c>
      <c r="AP273" s="20" t="s">
        <v>6672</v>
      </c>
    </row>
    <row r="274" spans="7:48">
      <c r="G274" s="2" t="s">
        <v>6871</v>
      </c>
      <c r="H274" s="3">
        <v>2431394.0135999997</v>
      </c>
      <c r="M274" s="361" t="s">
        <v>5386</v>
      </c>
      <c r="N274" s="1">
        <v>7278025.5327000003</v>
      </c>
      <c r="O274" s="374" t="s">
        <v>900</v>
      </c>
      <c r="P274" s="374">
        <v>5033</v>
      </c>
      <c r="Q274" s="18">
        <v>2229.4976999999999</v>
      </c>
      <c r="R274" s="18">
        <f t="shared" si="34"/>
        <v>11221061.924099999</v>
      </c>
      <c r="S274" s="399" t="s">
        <v>5507</v>
      </c>
      <c r="AA274" t="s">
        <v>25</v>
      </c>
      <c r="AJ274" s="11">
        <v>254</v>
      </c>
      <c r="AK274" s="3" t="s">
        <v>6674</v>
      </c>
      <c r="AL274" s="3">
        <v>50000000</v>
      </c>
      <c r="AM274" s="11">
        <v>59</v>
      </c>
      <c r="AN274" s="20">
        <f t="shared" si="32"/>
        <v>63</v>
      </c>
      <c r="AO274" s="37">
        <f t="shared" si="33"/>
        <v>3150000000</v>
      </c>
      <c r="AP274" s="20" t="s">
        <v>6672</v>
      </c>
      <c r="AR274" t="s">
        <v>25</v>
      </c>
    </row>
    <row r="275" spans="7:48" ht="23.25" customHeight="1">
      <c r="G275" s="2" t="s">
        <v>6872</v>
      </c>
      <c r="H275" s="3">
        <v>8445499.6301039997</v>
      </c>
      <c r="M275" s="361" t="s">
        <v>5390</v>
      </c>
      <c r="N275" s="1">
        <v>195059.35799999998</v>
      </c>
      <c r="O275" s="374" t="s">
        <v>5511</v>
      </c>
      <c r="P275" s="374">
        <v>2870</v>
      </c>
      <c r="Q275" s="18">
        <v>2303.2467459999998</v>
      </c>
      <c r="R275" s="18">
        <f t="shared" si="34"/>
        <v>6610318.1610199995</v>
      </c>
      <c r="S275" s="399" t="s">
        <v>4976</v>
      </c>
      <c r="AJ275" s="11">
        <v>255</v>
      </c>
      <c r="AK275" s="3" t="s">
        <v>6709</v>
      </c>
      <c r="AL275" s="3">
        <v>-364449030</v>
      </c>
      <c r="AM275" s="11">
        <v>2</v>
      </c>
      <c r="AN275" s="20">
        <f t="shared" ref="AN275:AN280" si="35">AN276+AM275</f>
        <v>4</v>
      </c>
      <c r="AO275" s="37">
        <f t="shared" ref="AO275:AO280" si="36">AL275*AN275</f>
        <v>-1457796120</v>
      </c>
      <c r="AP275" s="20" t="s">
        <v>6711</v>
      </c>
      <c r="AR275" t="s">
        <v>25</v>
      </c>
    </row>
    <row r="276" spans="7:48">
      <c r="G276" s="2" t="s">
        <v>6874</v>
      </c>
      <c r="H276" s="3">
        <v>3605149.5994500001</v>
      </c>
      <c r="M276" s="361" t="s">
        <v>5392</v>
      </c>
      <c r="N276" s="1">
        <v>862577.83200000005</v>
      </c>
      <c r="O276" s="374" t="s">
        <v>5512</v>
      </c>
      <c r="P276" s="374">
        <v>307</v>
      </c>
      <c r="Q276" s="18">
        <v>2315.0266360000001</v>
      </c>
      <c r="R276" s="18">
        <f t="shared" si="34"/>
        <v>710713.17725199996</v>
      </c>
      <c r="S276" s="399" t="s">
        <v>4976</v>
      </c>
      <c r="AJ276" s="11">
        <v>256</v>
      </c>
      <c r="AK276" s="3" t="s">
        <v>6718</v>
      </c>
      <c r="AL276" s="3">
        <v>25000000</v>
      </c>
      <c r="AM276" s="11">
        <v>1</v>
      </c>
      <c r="AN276" s="20">
        <f t="shared" si="35"/>
        <v>2</v>
      </c>
      <c r="AO276" s="37">
        <f t="shared" si="36"/>
        <v>50000000</v>
      </c>
      <c r="AP276" s="20" t="s">
        <v>6719</v>
      </c>
    </row>
    <row r="277" spans="7:48">
      <c r="G277" s="358" t="s">
        <v>6882</v>
      </c>
      <c r="H277" s="359">
        <v>2648717.3756280001</v>
      </c>
      <c r="M277" s="361" t="s">
        <v>5393</v>
      </c>
      <c r="N277" s="1">
        <v>920308.446</v>
      </c>
      <c r="O277" s="374" t="s">
        <v>5513</v>
      </c>
      <c r="P277" s="374">
        <v>35</v>
      </c>
      <c r="Q277" s="18">
        <v>2315</v>
      </c>
      <c r="R277" s="18">
        <f t="shared" si="34"/>
        <v>81025</v>
      </c>
      <c r="S277" s="399" t="s">
        <v>5515</v>
      </c>
      <c r="AJ277" s="11">
        <v>256</v>
      </c>
      <c r="AK277" s="3" t="s">
        <v>6724</v>
      </c>
      <c r="AL277" s="3">
        <v>58000000</v>
      </c>
      <c r="AM277" s="11">
        <v>1</v>
      </c>
      <c r="AN277" s="20">
        <f t="shared" si="35"/>
        <v>1</v>
      </c>
      <c r="AO277" s="37">
        <f t="shared" si="36"/>
        <v>58000000</v>
      </c>
      <c r="AP277" s="20" t="s">
        <v>6719</v>
      </c>
    </row>
    <row r="278" spans="7:48" ht="15" customHeight="1">
      <c r="G278" s="358" t="s">
        <v>6884</v>
      </c>
      <c r="H278" s="359">
        <v>3140841.0248159999</v>
      </c>
      <c r="M278" s="361" t="s">
        <v>5395</v>
      </c>
      <c r="N278" s="1">
        <v>4635809.8416840006</v>
      </c>
      <c r="O278" s="374" t="s">
        <v>5516</v>
      </c>
      <c r="P278" s="374">
        <v>94</v>
      </c>
      <c r="Q278" s="18">
        <v>2337.1980119999998</v>
      </c>
      <c r="R278" s="18">
        <f t="shared" si="34"/>
        <v>219696.613128</v>
      </c>
      <c r="S278" s="399" t="s">
        <v>4976</v>
      </c>
      <c r="AA278" s="7"/>
      <c r="AJ278" s="11"/>
      <c r="AK278" s="3"/>
      <c r="AL278" s="3"/>
      <c r="AM278" s="11"/>
      <c r="AN278" s="20">
        <f t="shared" si="35"/>
        <v>0</v>
      </c>
      <c r="AO278" s="37">
        <f t="shared" si="36"/>
        <v>0</v>
      </c>
      <c r="AP278" s="20"/>
    </row>
    <row r="279" spans="7:48">
      <c r="G279" s="358" t="s">
        <v>6885</v>
      </c>
      <c r="H279" s="359">
        <v>1401154.6340009999</v>
      </c>
      <c r="M279" s="361" t="s">
        <v>5417</v>
      </c>
      <c r="N279" s="1">
        <v>288892.40000000002</v>
      </c>
      <c r="O279" s="374" t="s">
        <v>5517</v>
      </c>
      <c r="P279" s="374">
        <v>2534</v>
      </c>
      <c r="Q279" s="18">
        <v>2381.7965300000001</v>
      </c>
      <c r="R279" s="18">
        <f t="shared" si="34"/>
        <v>6035472.4070199998</v>
      </c>
      <c r="S279" s="399" t="s">
        <v>4976</v>
      </c>
      <c r="AA279" t="s">
        <v>25</v>
      </c>
      <c r="AJ279" s="11"/>
      <c r="AK279" s="3"/>
      <c r="AL279" s="3"/>
      <c r="AM279" s="11"/>
      <c r="AN279" s="20">
        <f t="shared" si="35"/>
        <v>0</v>
      </c>
      <c r="AO279" s="37">
        <f t="shared" si="36"/>
        <v>0</v>
      </c>
      <c r="AP279" s="20"/>
      <c r="AV279" t="s">
        <v>25</v>
      </c>
    </row>
    <row r="280" spans="7:48">
      <c r="G280" s="358" t="s">
        <v>6893</v>
      </c>
      <c r="H280" s="359">
        <v>1465766.7556200002</v>
      </c>
      <c r="M280" s="361" t="s">
        <v>5418</v>
      </c>
      <c r="N280" s="1">
        <v>58508002.009000003</v>
      </c>
      <c r="O280" s="374" t="s">
        <v>5518</v>
      </c>
      <c r="P280" s="374">
        <v>424</v>
      </c>
      <c r="Q280" s="18">
        <v>2321.9017680000002</v>
      </c>
      <c r="R280" s="18">
        <f t="shared" si="34"/>
        <v>984486.34963200008</v>
      </c>
      <c r="S280" s="399" t="s">
        <v>4976</v>
      </c>
      <c r="AJ280" s="11"/>
      <c r="AK280" s="3"/>
      <c r="AL280" s="3">
        <v>0</v>
      </c>
      <c r="AM280" s="11"/>
      <c r="AN280" s="20">
        <f t="shared" si="35"/>
        <v>0</v>
      </c>
      <c r="AO280" s="37">
        <f t="shared" si="36"/>
        <v>0</v>
      </c>
      <c r="AP280" s="20"/>
    </row>
    <row r="281" spans="7:48">
      <c r="G281" s="358" t="s">
        <v>6898</v>
      </c>
      <c r="H281" s="359">
        <v>19489152.504344001</v>
      </c>
      <c r="M281" s="361" t="s">
        <v>5420</v>
      </c>
      <c r="N281" s="1">
        <v>2245515.5410799999</v>
      </c>
      <c r="O281" s="189" t="s">
        <v>5519</v>
      </c>
      <c r="P281" s="189">
        <v>-32</v>
      </c>
      <c r="Q281" s="190">
        <v>2221.2123710000001</v>
      </c>
      <c r="R281" s="190">
        <f t="shared" si="34"/>
        <v>-71078.795872000002</v>
      </c>
      <c r="S281" s="398" t="s">
        <v>5522</v>
      </c>
      <c r="AJ281" s="11"/>
      <c r="AK281" s="3"/>
      <c r="AL281" s="3"/>
      <c r="AM281" s="11">
        <v>0</v>
      </c>
      <c r="AN281" s="20">
        <f t="shared" si="32"/>
        <v>0</v>
      </c>
      <c r="AO281" s="37">
        <f t="shared" si="33"/>
        <v>0</v>
      </c>
      <c r="AP281" s="20"/>
      <c r="AU281" t="s">
        <v>25</v>
      </c>
    </row>
    <row r="282" spans="7:48">
      <c r="G282" s="281" t="s">
        <v>6902</v>
      </c>
      <c r="H282" s="282">
        <v>46017582.952047996</v>
      </c>
      <c r="M282" s="361" t="s">
        <v>5420</v>
      </c>
      <c r="N282" s="1">
        <v>18404699.3442</v>
      </c>
      <c r="O282" s="374" t="s">
        <v>5519</v>
      </c>
      <c r="P282" s="374">
        <v>157</v>
      </c>
      <c r="Q282" s="18">
        <v>2221.2123710000001</v>
      </c>
      <c r="R282" s="18">
        <f t="shared" si="34"/>
        <v>348730.34224700002</v>
      </c>
      <c r="S282" s="399" t="s">
        <v>5523</v>
      </c>
      <c r="AJ282" s="11"/>
      <c r="AK282" s="11"/>
      <c r="AL282" s="26">
        <f>SUM(AL20:AL281)</f>
        <v>-122088858.93843603</v>
      </c>
      <c r="AM282" s="11"/>
      <c r="AN282" s="11">
        <v>0</v>
      </c>
      <c r="AO282" s="26">
        <f>SUM(AO20:AO281)</f>
        <v>565909378536.14966</v>
      </c>
      <c r="AP282" s="26">
        <f>AO282*AP285/31</f>
        <v>304258439.09877443</v>
      </c>
    </row>
    <row r="283" spans="7:48">
      <c r="G283" s="358" t="s">
        <v>6912</v>
      </c>
      <c r="H283" s="359">
        <v>7550796.2979680002</v>
      </c>
      <c r="I283" t="s">
        <v>25</v>
      </c>
      <c r="M283" s="361" t="s">
        <v>5423</v>
      </c>
      <c r="N283" s="1">
        <v>48684800</v>
      </c>
      <c r="O283" s="374" t="s">
        <v>5519</v>
      </c>
      <c r="P283" s="374">
        <v>965</v>
      </c>
      <c r="Q283" s="18">
        <v>2221.2123710000001</v>
      </c>
      <c r="R283" s="18">
        <f t="shared" si="34"/>
        <v>2143469.938015</v>
      </c>
      <c r="S283" s="399" t="s">
        <v>4976</v>
      </c>
      <c r="AJ283" s="11"/>
      <c r="AK283" s="11"/>
      <c r="AL283" s="11" t="s">
        <v>3972</v>
      </c>
      <c r="AM283" s="11"/>
      <c r="AN283" s="11"/>
      <c r="AO283" s="11" t="s">
        <v>284</v>
      </c>
      <c r="AP283" s="11" t="s">
        <v>863</v>
      </c>
    </row>
    <row r="284" spans="7:48">
      <c r="G284" s="358" t="s">
        <v>6913</v>
      </c>
      <c r="H284" s="359">
        <v>1688454</v>
      </c>
      <c r="M284" s="361" t="s">
        <v>5424</v>
      </c>
      <c r="N284" s="1">
        <v>2264658.5922190002</v>
      </c>
      <c r="O284" s="189" t="s">
        <v>5525</v>
      </c>
      <c r="P284" s="189">
        <v>596</v>
      </c>
      <c r="Q284" s="190">
        <v>2180.6765719999999</v>
      </c>
      <c r="R284" s="190">
        <f t="shared" si="34"/>
        <v>1299683.236912</v>
      </c>
      <c r="S284" s="398" t="s">
        <v>1005</v>
      </c>
      <c r="AJ284" s="11"/>
      <c r="AK284" s="11"/>
      <c r="AL284" s="11"/>
      <c r="AM284" s="11"/>
      <c r="AN284" s="11"/>
      <c r="AO284" s="11"/>
      <c r="AP284" s="11"/>
    </row>
    <row r="285" spans="7:48">
      <c r="G285" s="358" t="s">
        <v>6923</v>
      </c>
      <c r="H285" s="359">
        <v>10876225.6142</v>
      </c>
      <c r="M285" s="361" t="s">
        <v>5425</v>
      </c>
      <c r="N285" s="1">
        <v>22877413.789960001</v>
      </c>
      <c r="O285" s="374" t="s">
        <v>5529</v>
      </c>
      <c r="P285" s="374">
        <v>1355</v>
      </c>
      <c r="Q285" s="18">
        <v>2277.0926330000002</v>
      </c>
      <c r="R285" s="18">
        <f t="shared" si="34"/>
        <v>3085460.5177150001</v>
      </c>
      <c r="S285" s="399" t="s">
        <v>4976</v>
      </c>
      <c r="AA285" t="s">
        <v>25</v>
      </c>
      <c r="AJ285" s="11"/>
      <c r="AK285" s="11"/>
      <c r="AL285" s="11"/>
      <c r="AM285" s="11"/>
      <c r="AN285" s="11"/>
      <c r="AO285" s="11" t="s">
        <v>3973</v>
      </c>
      <c r="AP285" s="11">
        <v>1.6667000000000001E-2</v>
      </c>
      <c r="AS285" t="s">
        <v>25</v>
      </c>
    </row>
    <row r="286" spans="7:48">
      <c r="G286" s="358" t="s">
        <v>6928</v>
      </c>
      <c r="H286" s="359">
        <v>13024938.86954</v>
      </c>
      <c r="M286" s="361" t="s">
        <v>5426</v>
      </c>
      <c r="N286" s="1">
        <v>2362539.4373280001</v>
      </c>
      <c r="O286" s="374" t="s">
        <v>5530</v>
      </c>
      <c r="P286" s="374">
        <v>3742</v>
      </c>
      <c r="Q286" s="18">
        <v>2207.7650429999999</v>
      </c>
      <c r="R286" s="18">
        <f t="shared" si="34"/>
        <v>8261456.790906</v>
      </c>
      <c r="S286" s="399" t="s">
        <v>4976</v>
      </c>
      <c r="AJ286" s="11"/>
      <c r="AK286" s="11"/>
      <c r="AL286" s="11"/>
      <c r="AM286" s="11"/>
      <c r="AN286" s="11"/>
      <c r="AO286" s="11"/>
      <c r="AP286" s="11"/>
    </row>
    <row r="287" spans="7:48">
      <c r="G287" s="358" t="s">
        <v>6929</v>
      </c>
      <c r="H287" s="359">
        <v>16923049.11036</v>
      </c>
      <c r="M287" s="361" t="s">
        <v>5427</v>
      </c>
      <c r="N287" s="1">
        <v>16042676.656608</v>
      </c>
      <c r="O287" s="374" t="s">
        <v>5531</v>
      </c>
      <c r="P287" s="374">
        <v>3216</v>
      </c>
      <c r="Q287" s="18">
        <v>2043.648557</v>
      </c>
      <c r="R287" s="18">
        <f t="shared" si="34"/>
        <v>6572373.7593120001</v>
      </c>
      <c r="S287" s="399" t="s">
        <v>4976</v>
      </c>
      <c r="AA287" t="s">
        <v>25</v>
      </c>
      <c r="AJ287" s="11"/>
      <c r="AK287" s="11" t="s">
        <v>3974</v>
      </c>
      <c r="AL287" s="26">
        <f>AL282+AP282</f>
        <v>182169580.1603384</v>
      </c>
      <c r="AM287" s="11"/>
      <c r="AN287" s="11"/>
      <c r="AO287" s="11"/>
      <c r="AP287" s="11"/>
    </row>
    <row r="288" spans="7:48">
      <c r="G288" s="358" t="s">
        <v>6931</v>
      </c>
      <c r="H288" s="359">
        <v>3356939.04</v>
      </c>
      <c r="M288" s="361" t="s">
        <v>5428</v>
      </c>
      <c r="N288" s="1">
        <v>18403291.448284</v>
      </c>
      <c r="O288" s="189" t="s">
        <v>5533</v>
      </c>
      <c r="P288" s="189">
        <v>42393</v>
      </c>
      <c r="Q288" s="190">
        <v>2124.4852740000001</v>
      </c>
      <c r="R288" s="190">
        <f t="shared" si="34"/>
        <v>90063304.22068201</v>
      </c>
      <c r="S288" s="398" t="s">
        <v>5534</v>
      </c>
      <c r="AK288" t="s">
        <v>3977</v>
      </c>
      <c r="AL288" s="7">
        <f>SUM(B41:B59)</f>
        <v>16613519641</v>
      </c>
      <c r="AO288" t="s">
        <v>25</v>
      </c>
    </row>
    <row r="289" spans="7:47">
      <c r="G289" s="358" t="s">
        <v>6932</v>
      </c>
      <c r="H289" s="359">
        <v>30163522.767999999</v>
      </c>
      <c r="M289" s="361" t="s">
        <v>5429</v>
      </c>
      <c r="N289" s="1">
        <v>10561447.246918</v>
      </c>
      <c r="O289" s="374" t="s">
        <v>5535</v>
      </c>
      <c r="P289" s="374">
        <v>1307</v>
      </c>
      <c r="Q289" s="18">
        <v>2213.652313</v>
      </c>
      <c r="R289" s="18">
        <f t="shared" si="34"/>
        <v>2893243.5730909999</v>
      </c>
      <c r="S289" s="399" t="s">
        <v>4976</v>
      </c>
      <c r="AA289" t="s">
        <v>25</v>
      </c>
      <c r="AK289" t="s">
        <v>4037</v>
      </c>
      <c r="AL289" s="7">
        <f>AL288-AL282</f>
        <v>16735608499.938437</v>
      </c>
      <c r="AO289" t="s">
        <v>25</v>
      </c>
      <c r="AU289" t="s">
        <v>25</v>
      </c>
    </row>
    <row r="290" spans="7:47">
      <c r="G290" s="358" t="s">
        <v>6933</v>
      </c>
      <c r="H290" s="359">
        <v>26097920.290260002</v>
      </c>
      <c r="M290" s="361" t="s">
        <v>5430</v>
      </c>
      <c r="N290" s="1">
        <v>1226811.9176660001</v>
      </c>
      <c r="O290" s="374" t="s">
        <v>5536</v>
      </c>
      <c r="P290" s="374">
        <v>44079</v>
      </c>
      <c r="Q290" s="18">
        <v>2155.0411519999998</v>
      </c>
      <c r="R290" s="18">
        <f t="shared" si="34"/>
        <v>94992058.939007998</v>
      </c>
      <c r="S290" s="399" t="s">
        <v>4976</v>
      </c>
      <c r="AK290" t="s">
        <v>863</v>
      </c>
      <c r="AL290" s="7">
        <f>AP282</f>
        <v>304258439.09877443</v>
      </c>
      <c r="AP290" t="s">
        <v>25</v>
      </c>
    </row>
    <row r="291" spans="7:47">
      <c r="G291" s="358" t="s">
        <v>6941</v>
      </c>
      <c r="H291" s="359">
        <v>13362052.444619998</v>
      </c>
      <c r="M291" s="361" t="s">
        <v>5432</v>
      </c>
      <c r="N291" s="1">
        <v>39373959.190266006</v>
      </c>
      <c r="O291" s="374" t="s">
        <v>5538</v>
      </c>
      <c r="P291" s="374">
        <v>131</v>
      </c>
      <c r="Q291" s="18">
        <v>2099.4040150000001</v>
      </c>
      <c r="R291" s="18">
        <f t="shared" si="34"/>
        <v>275021.925965</v>
      </c>
      <c r="S291" s="399" t="s">
        <v>4976</v>
      </c>
      <c r="AA291" t="s">
        <v>25</v>
      </c>
      <c r="AK291" t="s">
        <v>3978</v>
      </c>
      <c r="AL291" s="7">
        <f>AL288-AL287</f>
        <v>16431350060.839661</v>
      </c>
      <c r="AP291" t="s">
        <v>25</v>
      </c>
    </row>
    <row r="292" spans="7:47">
      <c r="G292" s="358" t="s">
        <v>6943</v>
      </c>
      <c r="H292" s="359">
        <v>6971813.8000000007</v>
      </c>
      <c r="M292" s="361" t="s">
        <v>5433</v>
      </c>
      <c r="N292" s="1">
        <v>27703487.063980002</v>
      </c>
      <c r="O292" s="374" t="s">
        <v>5542</v>
      </c>
      <c r="P292" s="374">
        <v>162</v>
      </c>
      <c r="Q292" s="18">
        <v>2021.3081500000001</v>
      </c>
      <c r="R292" s="18">
        <f t="shared" si="34"/>
        <v>327451.9203</v>
      </c>
      <c r="S292" s="399" t="s">
        <v>4976</v>
      </c>
      <c r="AA292" t="s">
        <v>25</v>
      </c>
      <c r="AO292" t="s">
        <v>25</v>
      </c>
    </row>
    <row r="293" spans="7:47">
      <c r="G293" s="358" t="s">
        <v>6967</v>
      </c>
      <c r="H293" s="359">
        <v>8908974.7799999993</v>
      </c>
      <c r="M293" s="361" t="s">
        <v>4100</v>
      </c>
      <c r="N293" s="1">
        <v>8738896.6890719999</v>
      </c>
      <c r="O293" s="374" t="s">
        <v>5548</v>
      </c>
      <c r="P293" s="374">
        <v>131</v>
      </c>
      <c r="Q293" s="18">
        <v>1985.358328</v>
      </c>
      <c r="R293" s="18">
        <f t="shared" si="34"/>
        <v>260081.94096800001</v>
      </c>
      <c r="S293" s="399" t="s">
        <v>4976</v>
      </c>
      <c r="AL293" t="s">
        <v>25</v>
      </c>
    </row>
    <row r="294" spans="7:47">
      <c r="G294" s="358"/>
      <c r="H294" s="359"/>
      <c r="M294" s="361" t="s">
        <v>5434</v>
      </c>
      <c r="N294" s="1">
        <v>348201.66738</v>
      </c>
      <c r="O294" s="374" t="s">
        <v>5555</v>
      </c>
      <c r="P294" s="374">
        <v>1449</v>
      </c>
      <c r="Q294" s="18">
        <v>2007.787806</v>
      </c>
      <c r="R294" s="18">
        <f t="shared" si="34"/>
        <v>2909284.5308940001</v>
      </c>
      <c r="S294" s="399" t="s">
        <v>4976</v>
      </c>
    </row>
    <row r="295" spans="7:47">
      <c r="G295" s="358"/>
      <c r="H295" s="359"/>
      <c r="M295" s="361" t="s">
        <v>5438</v>
      </c>
      <c r="N295" s="1">
        <v>4158090.8935679998</v>
      </c>
      <c r="O295" s="374" t="s">
        <v>5556</v>
      </c>
      <c r="P295" s="374">
        <v>19028</v>
      </c>
      <c r="Q295" s="18">
        <v>1982.5102529999999</v>
      </c>
      <c r="R295" s="18">
        <f t="shared" si="34"/>
        <v>37723205.094084002</v>
      </c>
      <c r="S295" s="399" t="s">
        <v>4976</v>
      </c>
    </row>
    <row r="296" spans="7:47">
      <c r="G296" s="358"/>
      <c r="H296" s="359"/>
      <c r="M296" s="361" t="s">
        <v>5435</v>
      </c>
      <c r="N296" s="1">
        <v>110770524.97879399</v>
      </c>
      <c r="O296" s="374" t="s">
        <v>5557</v>
      </c>
      <c r="P296" s="374">
        <v>848</v>
      </c>
      <c r="Q296" s="18">
        <v>1768.97966</v>
      </c>
      <c r="R296" s="18">
        <f t="shared" si="34"/>
        <v>1500094.75168</v>
      </c>
      <c r="S296" s="399" t="s">
        <v>4976</v>
      </c>
      <c r="AA296" t="s">
        <v>25</v>
      </c>
    </row>
    <row r="297" spans="7:47">
      <c r="G297" s="358"/>
      <c r="H297" s="359"/>
      <c r="M297" s="361" t="s">
        <v>5438</v>
      </c>
      <c r="N297" s="1">
        <v>17900000</v>
      </c>
      <c r="O297" s="374" t="s">
        <v>5558</v>
      </c>
      <c r="P297" s="374">
        <v>3824</v>
      </c>
      <c r="Q297" s="18">
        <v>1890.8547169999999</v>
      </c>
      <c r="R297" s="18">
        <f t="shared" si="34"/>
        <v>7230628.4378079996</v>
      </c>
      <c r="S297" s="399" t="s">
        <v>4976</v>
      </c>
    </row>
    <row r="298" spans="7:47">
      <c r="G298" s="358"/>
      <c r="H298" s="359"/>
      <c r="M298" s="361" t="s">
        <v>5449</v>
      </c>
      <c r="N298" s="1">
        <v>12114824.927374</v>
      </c>
      <c r="O298" s="374" t="s">
        <v>5560</v>
      </c>
      <c r="P298" s="374">
        <v>14010</v>
      </c>
      <c r="Q298" s="18">
        <v>2124.7244390000001</v>
      </c>
      <c r="R298" s="18">
        <f t="shared" si="34"/>
        <v>29767389.390390001</v>
      </c>
      <c r="S298" s="399" t="s">
        <v>4976</v>
      </c>
      <c r="AJ298" s="11" t="s">
        <v>3557</v>
      </c>
      <c r="AK298" s="11" t="s">
        <v>180</v>
      </c>
      <c r="AL298" s="11" t="s">
        <v>267</v>
      </c>
      <c r="AM298" s="11" t="s">
        <v>3971</v>
      </c>
      <c r="AN298" s="11" t="s">
        <v>3963</v>
      </c>
      <c r="AO298" s="11" t="s">
        <v>282</v>
      </c>
      <c r="AP298" s="11" t="s">
        <v>4183</v>
      </c>
    </row>
    <row r="299" spans="7:47">
      <c r="G299" s="358"/>
      <c r="H299" s="359"/>
      <c r="M299" s="361" t="s">
        <v>5452</v>
      </c>
      <c r="N299" s="1">
        <v>6684147.0064600008</v>
      </c>
      <c r="O299" s="374" t="s">
        <v>5561</v>
      </c>
      <c r="P299" s="374">
        <v>73</v>
      </c>
      <c r="Q299" s="18">
        <v>2076.1678900000002</v>
      </c>
      <c r="R299" s="18">
        <f t="shared" si="34"/>
        <v>151560.25597</v>
      </c>
      <c r="S299" s="399" t="s">
        <v>4976</v>
      </c>
      <c r="AJ299" s="11">
        <v>1</v>
      </c>
      <c r="AK299" s="11" t="s">
        <v>3863</v>
      </c>
      <c r="AL299" s="37">
        <v>3555820</v>
      </c>
      <c r="AM299" s="11">
        <v>2</v>
      </c>
      <c r="AN299" s="11">
        <f>AM299+AN300</f>
        <v>991</v>
      </c>
      <c r="AO299" s="11">
        <f>AL299*AN299</f>
        <v>3523817620</v>
      </c>
      <c r="AP299" s="11" t="s">
        <v>4198</v>
      </c>
    </row>
    <row r="300" spans="7:47">
      <c r="G300" s="358"/>
      <c r="H300" s="359"/>
      <c r="M300" s="361" t="s">
        <v>5454</v>
      </c>
      <c r="N300" s="1">
        <v>1826535.2307560001</v>
      </c>
      <c r="O300" s="374" t="s">
        <v>5563</v>
      </c>
      <c r="P300" s="374">
        <v>236</v>
      </c>
      <c r="Q300" s="18">
        <v>2039.4867830000001</v>
      </c>
      <c r="R300" s="18">
        <f t="shared" si="34"/>
        <v>481318.88078800001</v>
      </c>
      <c r="S300" s="399" t="s">
        <v>4976</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8"/>
      <c r="H301" s="359"/>
      <c r="M301" s="361" t="s">
        <v>5455</v>
      </c>
      <c r="N301" s="1">
        <v>3577366.94</v>
      </c>
      <c r="O301" s="374" t="s">
        <v>5564</v>
      </c>
      <c r="P301" s="374">
        <v>75</v>
      </c>
      <c r="Q301" s="18">
        <v>1950.3675760000001</v>
      </c>
      <c r="R301" s="18">
        <f t="shared" si="34"/>
        <v>146277.56820000001</v>
      </c>
      <c r="S301" s="399" t="s">
        <v>4976</v>
      </c>
      <c r="AJ301" s="11">
        <v>3</v>
      </c>
      <c r="AK301" s="11" t="s">
        <v>4031</v>
      </c>
      <c r="AL301" s="37">
        <v>150000</v>
      </c>
      <c r="AM301" s="11">
        <v>3</v>
      </c>
      <c r="AN301" s="11">
        <f t="shared" si="37"/>
        <v>938</v>
      </c>
      <c r="AO301" s="11">
        <f t="shared" si="38"/>
        <v>140700000</v>
      </c>
      <c r="AP301" s="11"/>
    </row>
    <row r="302" spans="7:47">
      <c r="G302" s="358"/>
      <c r="H302" s="359"/>
      <c r="M302" s="361" t="s">
        <v>5457</v>
      </c>
      <c r="N302" s="1">
        <v>21239029.173567999</v>
      </c>
      <c r="O302" s="374" t="s">
        <v>5575</v>
      </c>
      <c r="P302" s="374">
        <v>232</v>
      </c>
      <c r="Q302" s="18">
        <v>1830.5750069999999</v>
      </c>
      <c r="R302" s="18">
        <f t="shared" si="34"/>
        <v>424693.40162399999</v>
      </c>
      <c r="S302" s="399" t="s">
        <v>4976</v>
      </c>
      <c r="AJ302" s="11">
        <v>4</v>
      </c>
      <c r="AK302" s="11" t="s">
        <v>4044</v>
      </c>
      <c r="AL302" s="37">
        <v>-95000</v>
      </c>
      <c r="AM302" s="11">
        <v>8</v>
      </c>
      <c r="AN302" s="11">
        <f t="shared" si="37"/>
        <v>935</v>
      </c>
      <c r="AO302" s="11">
        <f t="shared" si="38"/>
        <v>-88825000</v>
      </c>
      <c r="AP302" s="11"/>
    </row>
    <row r="303" spans="7:47">
      <c r="G303" s="358"/>
      <c r="H303" s="359"/>
      <c r="M303" s="361" t="s">
        <v>5461</v>
      </c>
      <c r="N303" s="1">
        <v>242957252.40163299</v>
      </c>
      <c r="O303" s="374" t="s">
        <v>5578</v>
      </c>
      <c r="P303" s="374">
        <v>308</v>
      </c>
      <c r="Q303" s="18">
        <v>1812.728578</v>
      </c>
      <c r="R303" s="18">
        <f t="shared" si="34"/>
        <v>558320.40202399995</v>
      </c>
      <c r="S303" s="399" t="s">
        <v>4976</v>
      </c>
      <c r="AA303" t="s">
        <v>25</v>
      </c>
      <c r="AJ303" s="11">
        <v>5</v>
      </c>
      <c r="AK303" s="11" t="s">
        <v>4068</v>
      </c>
      <c r="AL303" s="37">
        <v>3150000</v>
      </c>
      <c r="AM303" s="11">
        <v>16</v>
      </c>
      <c r="AN303" s="11">
        <f t="shared" si="37"/>
        <v>927</v>
      </c>
      <c r="AO303" s="11">
        <f t="shared" si="38"/>
        <v>2920050000</v>
      </c>
      <c r="AP303" s="11"/>
    </row>
    <row r="304" spans="7:47">
      <c r="G304" s="358"/>
      <c r="H304" s="359"/>
      <c r="M304" s="361" t="s">
        <v>5462</v>
      </c>
      <c r="N304" s="1">
        <v>7357181.2750800001</v>
      </c>
      <c r="O304" s="374" t="s">
        <v>5579</v>
      </c>
      <c r="P304" s="374">
        <v>106</v>
      </c>
      <c r="Q304" s="18">
        <v>1958.8888869</v>
      </c>
      <c r="R304" s="18">
        <f t="shared" si="34"/>
        <v>207642.22201140001</v>
      </c>
      <c r="S304" s="399" t="s">
        <v>4976</v>
      </c>
      <c r="AA304" t="s">
        <v>25</v>
      </c>
      <c r="AJ304" s="11">
        <v>6</v>
      </c>
      <c r="AK304" s="11" t="s">
        <v>4132</v>
      </c>
      <c r="AL304" s="37">
        <v>-65000</v>
      </c>
      <c r="AM304" s="11">
        <v>1</v>
      </c>
      <c r="AN304" s="11">
        <f t="shared" si="37"/>
        <v>911</v>
      </c>
      <c r="AO304" s="11">
        <f t="shared" si="38"/>
        <v>-59215000</v>
      </c>
      <c r="AP304" s="11"/>
    </row>
    <row r="305" spans="7:42">
      <c r="G305" s="358"/>
      <c r="H305" s="359"/>
      <c r="M305" s="361" t="s">
        <v>5464</v>
      </c>
      <c r="N305" s="1">
        <v>14951411.942400001</v>
      </c>
      <c r="O305" s="374" t="s">
        <v>5601</v>
      </c>
      <c r="P305" s="374">
        <v>17050</v>
      </c>
      <c r="Q305" s="18">
        <v>1984.311475</v>
      </c>
      <c r="R305" s="18">
        <f t="shared" si="34"/>
        <v>33832510.64875</v>
      </c>
      <c r="S305" s="399" t="s">
        <v>5602</v>
      </c>
      <c r="AB305" t="s">
        <v>25</v>
      </c>
      <c r="AJ305" s="11">
        <v>7</v>
      </c>
      <c r="AK305" s="11" t="s">
        <v>4200</v>
      </c>
      <c r="AL305" s="37">
        <v>-95000</v>
      </c>
      <c r="AM305" s="11">
        <v>6</v>
      </c>
      <c r="AN305" s="11">
        <f t="shared" si="37"/>
        <v>910</v>
      </c>
      <c r="AO305" s="11">
        <f t="shared" si="38"/>
        <v>-86450000</v>
      </c>
      <c r="AP305" s="11"/>
    </row>
    <row r="306" spans="7:42">
      <c r="G306" s="358"/>
      <c r="H306" s="359"/>
      <c r="M306" s="361" t="s">
        <v>5465</v>
      </c>
      <c r="N306" s="1">
        <v>47928209.377011999</v>
      </c>
      <c r="O306" s="374" t="s">
        <v>5601</v>
      </c>
      <c r="P306" s="374">
        <v>17050</v>
      </c>
      <c r="Q306" s="18">
        <v>1984.311475</v>
      </c>
      <c r="R306" s="18">
        <f t="shared" si="34"/>
        <v>33832510.64875</v>
      </c>
      <c r="S306" s="399" t="s">
        <v>5603</v>
      </c>
      <c r="AA306" t="s">
        <v>25</v>
      </c>
      <c r="AJ306" s="11">
        <v>8</v>
      </c>
      <c r="AK306" s="11" t="s">
        <v>4201</v>
      </c>
      <c r="AL306" s="37">
        <v>232000</v>
      </c>
      <c r="AM306" s="11">
        <v>7</v>
      </c>
      <c r="AN306" s="11">
        <f t="shared" si="37"/>
        <v>904</v>
      </c>
      <c r="AO306" s="11">
        <f t="shared" si="38"/>
        <v>209728000</v>
      </c>
      <c r="AP306" s="11"/>
    </row>
    <row r="307" spans="7:42">
      <c r="G307" s="358"/>
      <c r="H307" s="359"/>
      <c r="M307" s="361" t="s">
        <v>5466</v>
      </c>
      <c r="N307" s="1">
        <v>2281595.69937</v>
      </c>
      <c r="O307" s="374" t="s">
        <v>5605</v>
      </c>
      <c r="P307" s="374">
        <v>9659</v>
      </c>
      <c r="Q307" s="18">
        <v>2073.8685089999999</v>
      </c>
      <c r="R307" s="18">
        <f t="shared" si="34"/>
        <v>20031495.928431001</v>
      </c>
      <c r="S307" s="399" t="s">
        <v>5606</v>
      </c>
      <c r="AA307" t="s">
        <v>25</v>
      </c>
      <c r="AJ307" s="11">
        <v>9</v>
      </c>
      <c r="AK307" s="11" t="s">
        <v>4182</v>
      </c>
      <c r="AL307" s="37">
        <v>13000000</v>
      </c>
      <c r="AM307" s="11">
        <v>2</v>
      </c>
      <c r="AN307" s="11">
        <f t="shared" si="37"/>
        <v>897</v>
      </c>
      <c r="AO307" s="11">
        <f t="shared" si="38"/>
        <v>11661000000</v>
      </c>
      <c r="AP307" s="11"/>
    </row>
    <row r="308" spans="7:42">
      <c r="G308" s="358"/>
      <c r="H308" s="359"/>
      <c r="M308" s="361" t="s">
        <v>5467</v>
      </c>
      <c r="N308" s="1">
        <v>2964916.035069</v>
      </c>
      <c r="O308" s="374" t="s">
        <v>5609</v>
      </c>
      <c r="P308" s="374">
        <v>323</v>
      </c>
      <c r="Q308" s="18">
        <v>1975.162028</v>
      </c>
      <c r="R308" s="18">
        <f t="shared" si="34"/>
        <v>637977.33504399995</v>
      </c>
      <c r="S308" s="399" t="s">
        <v>4976</v>
      </c>
      <c r="AA308" t="s">
        <v>25</v>
      </c>
      <c r="AB308" t="s">
        <v>25</v>
      </c>
      <c r="AJ308" s="11">
        <v>10</v>
      </c>
      <c r="AK308" s="11" t="s">
        <v>4202</v>
      </c>
      <c r="AL308" s="37">
        <v>10000000</v>
      </c>
      <c r="AM308" s="11">
        <v>3</v>
      </c>
      <c r="AN308" s="11">
        <f t="shared" si="37"/>
        <v>895</v>
      </c>
      <c r="AO308" s="11">
        <f t="shared" si="38"/>
        <v>8950000000</v>
      </c>
      <c r="AP308" s="11"/>
    </row>
    <row r="309" spans="7:42">
      <c r="G309" s="358"/>
      <c r="H309" s="359"/>
      <c r="M309" s="361" t="s">
        <v>5468</v>
      </c>
      <c r="N309" s="1">
        <v>6460549.4269619994</v>
      </c>
      <c r="O309" s="374" t="s">
        <v>5610</v>
      </c>
      <c r="P309" s="374">
        <v>238</v>
      </c>
      <c r="Q309" s="18">
        <v>1960.303598</v>
      </c>
      <c r="R309" s="18">
        <f t="shared" si="34"/>
        <v>466552.25632400002</v>
      </c>
      <c r="S309" s="399" t="s">
        <v>4976</v>
      </c>
      <c r="AJ309" s="11">
        <v>11</v>
      </c>
      <c r="AK309" s="11" t="s">
        <v>4192</v>
      </c>
      <c r="AL309" s="37">
        <v>3400000</v>
      </c>
      <c r="AM309" s="11">
        <v>9</v>
      </c>
      <c r="AN309" s="11">
        <f t="shared" si="37"/>
        <v>892</v>
      </c>
      <c r="AO309" s="11">
        <f t="shared" si="38"/>
        <v>3032800000</v>
      </c>
      <c r="AP309" s="11"/>
    </row>
    <row r="310" spans="7:42">
      <c r="G310" s="358"/>
      <c r="H310" s="359"/>
      <c r="M310" s="361" t="s">
        <v>5470</v>
      </c>
      <c r="N310" s="1">
        <v>5212319.8968359996</v>
      </c>
      <c r="O310" s="374" t="s">
        <v>5611</v>
      </c>
      <c r="P310" s="374">
        <v>75</v>
      </c>
      <c r="Q310" s="18">
        <v>1990.893174</v>
      </c>
      <c r="R310" s="18">
        <f t="shared" si="34"/>
        <v>149316.98805000001</v>
      </c>
      <c r="S310" s="399" t="s">
        <v>5612</v>
      </c>
      <c r="AJ310" s="11">
        <v>12</v>
      </c>
      <c r="AK310" s="11" t="s">
        <v>4228</v>
      </c>
      <c r="AL310" s="37">
        <v>-8736514</v>
      </c>
      <c r="AM310" s="11">
        <v>1</v>
      </c>
      <c r="AN310" s="11">
        <f>AM310+AN311</f>
        <v>883</v>
      </c>
      <c r="AO310" s="11">
        <f t="shared" si="38"/>
        <v>-7714341862</v>
      </c>
      <c r="AP310" s="11"/>
    </row>
    <row r="311" spans="7:42">
      <c r="G311" s="358"/>
      <c r="H311" s="359"/>
      <c r="M311" s="361" t="s">
        <v>5471</v>
      </c>
      <c r="N311" s="1">
        <v>4524496.4792809999</v>
      </c>
      <c r="O311" s="374" t="s">
        <v>5611</v>
      </c>
      <c r="P311" s="374">
        <v>95</v>
      </c>
      <c r="Q311" s="18">
        <v>1990.893174</v>
      </c>
      <c r="R311" s="18">
        <f t="shared" si="34"/>
        <v>189134.85153000001</v>
      </c>
      <c r="S311" s="399" t="s">
        <v>4976</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61" t="s">
        <v>5472</v>
      </c>
      <c r="N312" s="1">
        <v>22866040.240959998</v>
      </c>
      <c r="O312" s="374" t="s">
        <v>5613</v>
      </c>
      <c r="P312" s="374">
        <v>284</v>
      </c>
      <c r="Q312" s="18">
        <v>1989.045169</v>
      </c>
      <c r="R312" s="18">
        <f t="shared" si="34"/>
        <v>564888.82799599995</v>
      </c>
      <c r="S312" s="399" t="s">
        <v>4976</v>
      </c>
      <c r="AB312" t="s">
        <v>25</v>
      </c>
      <c r="AJ312" s="11">
        <v>14</v>
      </c>
      <c r="AK312" s="11" t="s">
        <v>4250</v>
      </c>
      <c r="AL312" s="37">
        <v>-448308</v>
      </c>
      <c r="AM312" s="11">
        <v>6</v>
      </c>
      <c r="AN312" s="11">
        <f t="shared" si="39"/>
        <v>877</v>
      </c>
      <c r="AO312" s="11">
        <f t="shared" si="38"/>
        <v>-393166116</v>
      </c>
      <c r="AP312" s="11"/>
    </row>
    <row r="313" spans="7:42">
      <c r="G313" s="2"/>
      <c r="H313" s="3"/>
      <c r="M313" s="361" t="s">
        <v>5474</v>
      </c>
      <c r="N313" s="1">
        <v>15359304.269892</v>
      </c>
      <c r="O313" s="189" t="s">
        <v>5616</v>
      </c>
      <c r="P313" s="189">
        <v>11034</v>
      </c>
      <c r="Q313" s="190">
        <v>1960.6845390000001</v>
      </c>
      <c r="R313" s="190">
        <f t="shared" si="34"/>
        <v>21634193.203326002</v>
      </c>
      <c r="S313" s="398" t="s">
        <v>5619</v>
      </c>
      <c r="AJ313" s="11">
        <v>15</v>
      </c>
      <c r="AK313" s="11" t="s">
        <v>4277</v>
      </c>
      <c r="AL313" s="37">
        <v>33225</v>
      </c>
      <c r="AM313" s="11">
        <v>0</v>
      </c>
      <c r="AN313" s="11">
        <f t="shared" si="39"/>
        <v>871</v>
      </c>
      <c r="AO313" s="11">
        <f t="shared" si="38"/>
        <v>28938975</v>
      </c>
      <c r="AP313" s="11"/>
    </row>
    <row r="314" spans="7:42">
      <c r="G314" s="2" t="s">
        <v>5330</v>
      </c>
      <c r="H314" s="3">
        <v>-87000000</v>
      </c>
      <c r="M314" s="361" t="s">
        <v>5475</v>
      </c>
      <c r="N314" s="1">
        <v>2868508.1846330003</v>
      </c>
      <c r="O314" s="374" t="s">
        <v>5616</v>
      </c>
      <c r="P314" s="374">
        <v>4469</v>
      </c>
      <c r="Q314" s="18">
        <v>1960.6845390000001</v>
      </c>
      <c r="R314" s="18">
        <f t="shared" si="34"/>
        <v>8762299.2047910001</v>
      </c>
      <c r="S314" s="399" t="s">
        <v>5620</v>
      </c>
      <c r="AJ314" s="97">
        <v>16</v>
      </c>
      <c r="AK314" s="97" t="s">
        <v>4277</v>
      </c>
      <c r="AL314" s="131">
        <v>4098523</v>
      </c>
      <c r="AM314" s="97">
        <v>2</v>
      </c>
      <c r="AN314" s="97">
        <f t="shared" si="39"/>
        <v>871</v>
      </c>
      <c r="AO314" s="97">
        <f t="shared" si="38"/>
        <v>3569813533</v>
      </c>
      <c r="AP314" s="97" t="s">
        <v>606</v>
      </c>
    </row>
    <row r="315" spans="7:42">
      <c r="G315" s="2"/>
      <c r="H315" s="3"/>
      <c r="M315" s="361" t="s">
        <v>5476</v>
      </c>
      <c r="N315" s="1">
        <v>17450393.011856001</v>
      </c>
      <c r="O315" s="374" t="s">
        <v>5616</v>
      </c>
      <c r="P315" s="374">
        <v>-174834</v>
      </c>
      <c r="Q315" s="18">
        <v>1955.271154</v>
      </c>
      <c r="R315" s="18">
        <f t="shared" si="34"/>
        <v>-341847876.93843603</v>
      </c>
      <c r="S315" s="399" t="s">
        <v>5621</v>
      </c>
      <c r="AJ315" s="97">
        <v>17</v>
      </c>
      <c r="AK315" s="97" t="s">
        <v>4287</v>
      </c>
      <c r="AL315" s="131">
        <v>-1000000</v>
      </c>
      <c r="AM315" s="97">
        <v>7</v>
      </c>
      <c r="AN315" s="97">
        <f t="shared" si="39"/>
        <v>869</v>
      </c>
      <c r="AO315" s="97">
        <f t="shared" si="38"/>
        <v>-869000000</v>
      </c>
      <c r="AP315" s="97" t="s">
        <v>606</v>
      </c>
    </row>
    <row r="316" spans="7:42">
      <c r="G316" s="2"/>
      <c r="H316" s="1"/>
      <c r="M316" s="361" t="s">
        <v>5477</v>
      </c>
      <c r="N316" s="1">
        <v>31388943.254850004</v>
      </c>
      <c r="O316" s="374" t="s">
        <v>5616</v>
      </c>
      <c r="P316" s="374">
        <v>-78942</v>
      </c>
      <c r="Q316" s="18">
        <v>1955.271154</v>
      </c>
      <c r="R316" s="18">
        <f t="shared" si="34"/>
        <v>-154353015.43906799</v>
      </c>
      <c r="S316" s="399" t="s">
        <v>5622</v>
      </c>
      <c r="AJ316" s="97">
        <v>18</v>
      </c>
      <c r="AK316" s="97" t="s">
        <v>4307</v>
      </c>
      <c r="AL316" s="131">
        <v>750000</v>
      </c>
      <c r="AM316" s="97">
        <v>1</v>
      </c>
      <c r="AN316" s="97">
        <f t="shared" si="39"/>
        <v>862</v>
      </c>
      <c r="AO316" s="97">
        <f t="shared" si="38"/>
        <v>646500000</v>
      </c>
      <c r="AP316" s="97" t="s">
        <v>606</v>
      </c>
    </row>
    <row r="317" spans="7:42">
      <c r="G317" s="2"/>
      <c r="H317" s="1"/>
      <c r="M317" s="361" t="s">
        <v>5479</v>
      </c>
      <c r="N317" s="1">
        <v>30912095.373174001</v>
      </c>
      <c r="O317" s="189" t="s">
        <v>5616</v>
      </c>
      <c r="P317" s="189">
        <v>-11518</v>
      </c>
      <c r="Q317" s="190">
        <v>1955.271154</v>
      </c>
      <c r="R317" s="190">
        <f t="shared" si="34"/>
        <v>-22520813.151772</v>
      </c>
      <c r="S317" s="398" t="s">
        <v>5623</v>
      </c>
      <c r="AC317" t="s">
        <v>25</v>
      </c>
      <c r="AJ317" s="135">
        <v>19</v>
      </c>
      <c r="AK317" s="135" t="s">
        <v>4308</v>
      </c>
      <c r="AL317" s="136">
        <v>-604152</v>
      </c>
      <c r="AM317" s="135">
        <v>0</v>
      </c>
      <c r="AN317" s="135">
        <f t="shared" si="39"/>
        <v>861</v>
      </c>
      <c r="AO317" s="135">
        <f t="shared" si="38"/>
        <v>-520174872</v>
      </c>
      <c r="AP317" s="135" t="s">
        <v>606</v>
      </c>
    </row>
    <row r="318" spans="7:42">
      <c r="G318" s="2"/>
      <c r="H318" s="1"/>
      <c r="M318" s="361" t="s">
        <v>5480</v>
      </c>
      <c r="N318" s="1">
        <v>19602926.115093999</v>
      </c>
      <c r="O318" s="374" t="s">
        <v>5634</v>
      </c>
      <c r="P318" s="374">
        <v>8622</v>
      </c>
      <c r="Q318" s="18">
        <v>1930.4022150000001</v>
      </c>
      <c r="R318" s="18">
        <f t="shared" si="34"/>
        <v>16643927.89773</v>
      </c>
      <c r="S318" s="399"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61" t="s">
        <v>5481</v>
      </c>
      <c r="N319" s="1">
        <v>34458590.308710001</v>
      </c>
      <c r="O319" s="374" t="s">
        <v>5635</v>
      </c>
      <c r="P319" s="374">
        <v>17384</v>
      </c>
      <c r="Q319" s="18">
        <v>1918.745255</v>
      </c>
      <c r="R319" s="18">
        <f t="shared" si="34"/>
        <v>33355467.51292</v>
      </c>
      <c r="S319" s="399" t="s">
        <v>690</v>
      </c>
      <c r="AJ319" s="135">
        <v>21</v>
      </c>
      <c r="AK319" s="135" t="s">
        <v>4310</v>
      </c>
      <c r="AL319" s="136">
        <v>-754351</v>
      </c>
      <c r="AM319" s="135">
        <v>0</v>
      </c>
      <c r="AN319" s="97">
        <f t="shared" si="39"/>
        <v>857</v>
      </c>
      <c r="AO319" s="135">
        <f t="shared" si="38"/>
        <v>-646478807</v>
      </c>
      <c r="AP319" s="135" t="s">
        <v>606</v>
      </c>
    </row>
    <row r="320" spans="7:42">
      <c r="G320" s="201"/>
      <c r="H320" s="1"/>
      <c r="M320" s="361" t="s">
        <v>5482</v>
      </c>
      <c r="N320" s="1">
        <v>21697868.203256</v>
      </c>
      <c r="O320" s="374" t="s">
        <v>5638</v>
      </c>
      <c r="P320" s="374">
        <v>133</v>
      </c>
      <c r="Q320" s="18">
        <v>1954.8389770000001</v>
      </c>
      <c r="R320" s="18">
        <f t="shared" si="34"/>
        <v>259993.58394100002</v>
      </c>
      <c r="S320" s="399" t="s">
        <v>4976</v>
      </c>
      <c r="AA320" t="s">
        <v>25</v>
      </c>
      <c r="AJ320" s="11">
        <v>22</v>
      </c>
      <c r="AK320" s="11" t="s">
        <v>4310</v>
      </c>
      <c r="AL320" s="37">
        <v>-189619</v>
      </c>
      <c r="AM320" s="11">
        <v>15</v>
      </c>
      <c r="AN320" s="11">
        <f t="shared" si="39"/>
        <v>857</v>
      </c>
      <c r="AO320" s="11">
        <f t="shared" si="38"/>
        <v>-162503483</v>
      </c>
      <c r="AP320" s="11"/>
    </row>
    <row r="321" spans="13:46">
      <c r="M321" s="361" t="s">
        <v>5483</v>
      </c>
      <c r="N321" s="1">
        <v>25340079.252110001</v>
      </c>
      <c r="O321" s="374" t="s">
        <v>5639</v>
      </c>
      <c r="P321" s="374">
        <v>140</v>
      </c>
      <c r="Q321" s="18">
        <v>1928.2522289999999</v>
      </c>
      <c r="R321" s="18">
        <f t="shared" si="34"/>
        <v>269955.31205999997</v>
      </c>
      <c r="S321" s="399" t="s">
        <v>4976</v>
      </c>
      <c r="AB321" t="s">
        <v>25</v>
      </c>
      <c r="AC321" t="s">
        <v>25</v>
      </c>
      <c r="AJ321" s="135">
        <v>23</v>
      </c>
      <c r="AK321" s="135" t="s">
        <v>4364</v>
      </c>
      <c r="AL321" s="131">
        <v>7100</v>
      </c>
      <c r="AM321" s="135">
        <v>0</v>
      </c>
      <c r="AN321" s="97">
        <f t="shared" si="39"/>
        <v>842</v>
      </c>
      <c r="AO321" s="135">
        <f t="shared" si="38"/>
        <v>5978200</v>
      </c>
      <c r="AP321" s="135" t="s">
        <v>606</v>
      </c>
    </row>
    <row r="322" spans="13:46">
      <c r="M322" s="361" t="s">
        <v>5485</v>
      </c>
      <c r="N322" s="1">
        <v>14780983.183526</v>
      </c>
      <c r="O322" s="374" t="s">
        <v>5985</v>
      </c>
      <c r="P322" s="374">
        <v>15839</v>
      </c>
      <c r="Q322" s="18">
        <v>1893.9957079999999</v>
      </c>
      <c r="R322" s="18">
        <f t="shared" si="34"/>
        <v>29998998.019012</v>
      </c>
      <c r="S322" s="399" t="s">
        <v>5984</v>
      </c>
      <c r="AA322" t="s">
        <v>25</v>
      </c>
      <c r="AJ322" s="20">
        <v>24</v>
      </c>
      <c r="AK322" s="20" t="s">
        <v>4364</v>
      </c>
      <c r="AL322" s="37">
        <v>-147902</v>
      </c>
      <c r="AM322" s="20">
        <v>3</v>
      </c>
      <c r="AN322" s="11">
        <f t="shared" si="39"/>
        <v>842</v>
      </c>
      <c r="AO322" s="20">
        <f t="shared" si="38"/>
        <v>-124533484</v>
      </c>
      <c r="AP322" s="20"/>
    </row>
    <row r="323" spans="13:46">
      <c r="M323" s="361" t="s">
        <v>5485</v>
      </c>
      <c r="N323" s="1">
        <v>17804396.448481999</v>
      </c>
      <c r="O323" s="374" t="s">
        <v>5986</v>
      </c>
      <c r="P323" s="374">
        <v>26601</v>
      </c>
      <c r="Q323" s="18">
        <v>1880.082026</v>
      </c>
      <c r="R323" s="18">
        <f t="shared" si="34"/>
        <v>50012061.973626003</v>
      </c>
      <c r="S323" s="399" t="s">
        <v>5214</v>
      </c>
      <c r="AJ323" s="97">
        <v>25</v>
      </c>
      <c r="AK323" s="97" t="s">
        <v>4368</v>
      </c>
      <c r="AL323" s="131">
        <v>-37200</v>
      </c>
      <c r="AM323" s="97">
        <v>4</v>
      </c>
      <c r="AN323" s="97">
        <f t="shared" si="39"/>
        <v>839</v>
      </c>
      <c r="AO323" s="135">
        <f t="shared" si="38"/>
        <v>-31210800</v>
      </c>
      <c r="AP323" s="97" t="s">
        <v>606</v>
      </c>
    </row>
    <row r="324" spans="13:46">
      <c r="M324" s="361" t="s">
        <v>5488</v>
      </c>
      <c r="N324" s="1">
        <v>260260000</v>
      </c>
      <c r="O324" s="189" t="s">
        <v>5986</v>
      </c>
      <c r="P324" s="189">
        <v>10637</v>
      </c>
      <c r="Q324" s="190">
        <v>1880.082026</v>
      </c>
      <c r="R324" s="190">
        <f t="shared" si="34"/>
        <v>19998432.510561999</v>
      </c>
      <c r="S324" s="398" t="s">
        <v>5987</v>
      </c>
      <c r="AJ324" s="11">
        <v>26</v>
      </c>
      <c r="AK324" s="11" t="s">
        <v>4391</v>
      </c>
      <c r="AL324" s="37">
        <v>-372326</v>
      </c>
      <c r="AM324" s="11">
        <v>21</v>
      </c>
      <c r="AN324" s="11">
        <f t="shared" si="39"/>
        <v>835</v>
      </c>
      <c r="AO324" s="20">
        <f t="shared" si="38"/>
        <v>-310892210</v>
      </c>
      <c r="AP324" s="11"/>
    </row>
    <row r="325" spans="13:46">
      <c r="M325" s="361" t="s">
        <v>5489</v>
      </c>
      <c r="N325" s="1">
        <v>11538335.631417999</v>
      </c>
      <c r="O325" s="374" t="s">
        <v>5991</v>
      </c>
      <c r="P325" s="374">
        <v>306</v>
      </c>
      <c r="Q325" s="18">
        <v>1831.8117119999999</v>
      </c>
      <c r="R325" s="18">
        <f t="shared" si="34"/>
        <v>560534.38387200003</v>
      </c>
      <c r="S325" s="399" t="s">
        <v>4976</v>
      </c>
      <c r="AA325" t="s">
        <v>25</v>
      </c>
      <c r="AJ325" s="11">
        <v>27</v>
      </c>
      <c r="AK325" s="11" t="s">
        <v>4435</v>
      </c>
      <c r="AL325" s="37">
        <v>235062</v>
      </c>
      <c r="AM325" s="11">
        <v>0</v>
      </c>
      <c r="AN325" s="11">
        <f t="shared" si="39"/>
        <v>814</v>
      </c>
      <c r="AO325" s="20">
        <f t="shared" si="38"/>
        <v>191340468</v>
      </c>
      <c r="AP325" s="11"/>
    </row>
    <row r="326" spans="13:46">
      <c r="M326" s="361" t="s">
        <v>5497</v>
      </c>
      <c r="N326" s="1">
        <v>12429517.767776001</v>
      </c>
      <c r="O326" s="374" t="s">
        <v>5993</v>
      </c>
      <c r="P326" s="374">
        <v>325</v>
      </c>
      <c r="Q326" s="18">
        <v>1789.1845169999999</v>
      </c>
      <c r="R326" s="18">
        <f t="shared" si="34"/>
        <v>581484.96802499995</v>
      </c>
      <c r="S326" s="399" t="s">
        <v>4976</v>
      </c>
      <c r="AA326" t="s">
        <v>25</v>
      </c>
      <c r="AJ326" s="97">
        <v>28</v>
      </c>
      <c r="AK326" s="97" t="s">
        <v>4435</v>
      </c>
      <c r="AL326" s="131">
        <v>235062</v>
      </c>
      <c r="AM326" s="97">
        <v>9</v>
      </c>
      <c r="AN326" s="11">
        <f t="shared" si="39"/>
        <v>814</v>
      </c>
      <c r="AO326" s="97">
        <f t="shared" si="38"/>
        <v>191340468</v>
      </c>
      <c r="AP326" s="97" t="s">
        <v>606</v>
      </c>
    </row>
    <row r="327" spans="13:46">
      <c r="M327" s="361" t="s">
        <v>5499</v>
      </c>
      <c r="N327" s="1">
        <v>5031176.5087869996</v>
      </c>
      <c r="O327" s="374" t="s">
        <v>5995</v>
      </c>
      <c r="P327" s="374">
        <v>1154</v>
      </c>
      <c r="Q327" s="18">
        <v>1851.788857</v>
      </c>
      <c r="R327" s="18">
        <f t="shared" si="34"/>
        <v>2136964.3409779998</v>
      </c>
      <c r="S327" s="399" t="s">
        <v>4976</v>
      </c>
      <c r="AJ327" s="97">
        <v>29</v>
      </c>
      <c r="AK327" s="97" t="s">
        <v>4452</v>
      </c>
      <c r="AL327" s="131">
        <v>450000</v>
      </c>
      <c r="AM327" s="97">
        <v>0</v>
      </c>
      <c r="AN327" s="11">
        <f t="shared" si="39"/>
        <v>805</v>
      </c>
      <c r="AO327" s="97">
        <f t="shared" si="38"/>
        <v>362250000</v>
      </c>
      <c r="AP327" s="97" t="s">
        <v>606</v>
      </c>
    </row>
    <row r="328" spans="13:46">
      <c r="M328" s="361" t="s">
        <v>5503</v>
      </c>
      <c r="N328" s="1">
        <v>6822803.9080700008</v>
      </c>
      <c r="O328" s="374" t="s">
        <v>5995</v>
      </c>
      <c r="P328" s="374">
        <v>3240</v>
      </c>
      <c r="Q328" s="18">
        <v>1851.788857</v>
      </c>
      <c r="R328" s="18">
        <f t="shared" si="34"/>
        <v>5999795.8966800002</v>
      </c>
      <c r="S328" s="399" t="s">
        <v>5996</v>
      </c>
      <c r="AJ328" s="20">
        <v>30</v>
      </c>
      <c r="AK328" s="20" t="s">
        <v>4452</v>
      </c>
      <c r="AL328" s="37">
        <v>450000</v>
      </c>
      <c r="AM328" s="20">
        <v>22</v>
      </c>
      <c r="AN328" s="11">
        <f>AM328+AN329</f>
        <v>805</v>
      </c>
      <c r="AO328" s="20">
        <f t="shared" si="38"/>
        <v>362250000</v>
      </c>
      <c r="AP328" s="20"/>
    </row>
    <row r="329" spans="13:46">
      <c r="M329" s="361" t="s">
        <v>5511</v>
      </c>
      <c r="N329" s="1">
        <v>330889.73324399994</v>
      </c>
      <c r="O329" s="374" t="s">
        <v>5995</v>
      </c>
      <c r="P329" s="374">
        <v>-3240</v>
      </c>
      <c r="Q329" s="18">
        <v>1851.788857</v>
      </c>
      <c r="R329" s="18">
        <f t="shared" si="34"/>
        <v>-5999795.8966800002</v>
      </c>
      <c r="S329" s="399" t="s">
        <v>5997</v>
      </c>
      <c r="AJ329" s="97">
        <v>31</v>
      </c>
      <c r="AK329" s="97" t="s">
        <v>4511</v>
      </c>
      <c r="AL329" s="131">
        <v>300000</v>
      </c>
      <c r="AM329" s="97">
        <v>0</v>
      </c>
      <c r="AN329" s="97">
        <f t="shared" ref="AN329:AN344" si="40">AM329+AN330</f>
        <v>783</v>
      </c>
      <c r="AO329" s="97">
        <f t="shared" ref="AO329:AO338" si="41">AL329*AN329</f>
        <v>234900000</v>
      </c>
      <c r="AP329" s="97"/>
    </row>
    <row r="330" spans="13:46" ht="30">
      <c r="M330" s="361" t="s">
        <v>5512</v>
      </c>
      <c r="N330" s="1">
        <v>6610318.1610199995</v>
      </c>
      <c r="O330" s="374" t="s">
        <v>5998</v>
      </c>
      <c r="P330" s="374">
        <v>330</v>
      </c>
      <c r="Q330" s="18">
        <v>1799.34311</v>
      </c>
      <c r="R330" s="18">
        <f t="shared" si="34"/>
        <v>593783.22629999998</v>
      </c>
      <c r="S330" s="399" t="s">
        <v>4976</v>
      </c>
      <c r="AJ330" s="53">
        <v>32</v>
      </c>
      <c r="AK330" s="53" t="s">
        <v>4511</v>
      </c>
      <c r="AL330" s="54">
        <v>288936</v>
      </c>
      <c r="AM330" s="53">
        <v>3</v>
      </c>
      <c r="AN330" s="53">
        <f t="shared" si="40"/>
        <v>783</v>
      </c>
      <c r="AO330" s="53">
        <f t="shared" si="41"/>
        <v>226236888</v>
      </c>
      <c r="AP330" s="141" t="s">
        <v>4522</v>
      </c>
    </row>
    <row r="331" spans="13:46">
      <c r="M331" s="361" t="s">
        <v>5513</v>
      </c>
      <c r="N331" s="1">
        <v>710713.17725199996</v>
      </c>
      <c r="O331" s="374" t="s">
        <v>6002</v>
      </c>
      <c r="P331" s="374">
        <v>266</v>
      </c>
      <c r="Q331" s="18">
        <v>1764.9246700000001</v>
      </c>
      <c r="R331" s="18">
        <f t="shared" si="34"/>
        <v>469469.96222000004</v>
      </c>
      <c r="S331" s="399" t="s">
        <v>4976</v>
      </c>
      <c r="AB331" t="s">
        <v>25</v>
      </c>
      <c r="AJ331" s="53">
        <v>33</v>
      </c>
      <c r="AK331" s="53" t="s">
        <v>4520</v>
      </c>
      <c r="AL331" s="54">
        <v>17962491</v>
      </c>
      <c r="AM331" s="53">
        <v>1</v>
      </c>
      <c r="AN331" s="53">
        <f t="shared" si="40"/>
        <v>780</v>
      </c>
      <c r="AO331" s="53">
        <f t="shared" si="41"/>
        <v>14010742980</v>
      </c>
      <c r="AP331" s="53" t="s">
        <v>4526</v>
      </c>
    </row>
    <row r="332" spans="13:46">
      <c r="M332" s="361" t="s">
        <v>5516</v>
      </c>
      <c r="N332" s="1">
        <v>81025</v>
      </c>
      <c r="O332" s="189" t="s">
        <v>6006</v>
      </c>
      <c r="P332" s="189">
        <v>-10637</v>
      </c>
      <c r="Q332" s="190">
        <v>1739.5916549999999</v>
      </c>
      <c r="R332" s="190">
        <f t="shared" si="34"/>
        <v>-18504036.434234999</v>
      </c>
      <c r="S332" s="398" t="s">
        <v>6009</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61" t="s">
        <v>5517</v>
      </c>
      <c r="N333" s="1">
        <v>219696.613128</v>
      </c>
      <c r="O333" s="374" t="s">
        <v>6006</v>
      </c>
      <c r="P333" s="374">
        <v>10637</v>
      </c>
      <c r="Q333" s="18">
        <v>1739.5916549999999</v>
      </c>
      <c r="R333" s="18">
        <f t="shared" si="34"/>
        <v>18504036.434234999</v>
      </c>
      <c r="S333" s="399" t="s">
        <v>6010</v>
      </c>
      <c r="AA333" t="s">
        <v>25</v>
      </c>
      <c r="AJ333" s="53">
        <v>35</v>
      </c>
      <c r="AK333" s="53" t="s">
        <v>4531</v>
      </c>
      <c r="AL333" s="54">
        <v>23622417</v>
      </c>
      <c r="AM333" s="53">
        <v>5</v>
      </c>
      <c r="AN333" s="53">
        <f t="shared" si="40"/>
        <v>778</v>
      </c>
      <c r="AO333" s="53">
        <f t="shared" si="41"/>
        <v>18378240426</v>
      </c>
      <c r="AP333" s="53" t="s">
        <v>4532</v>
      </c>
    </row>
    <row r="334" spans="13:46">
      <c r="M334" s="361" t="s">
        <v>5518</v>
      </c>
      <c r="N334" s="1">
        <v>6035472.4070199998</v>
      </c>
      <c r="O334" s="374" t="s">
        <v>6032</v>
      </c>
      <c r="P334" s="374">
        <v>39478</v>
      </c>
      <c r="Q334" s="18">
        <v>1873.903047</v>
      </c>
      <c r="R334" s="18">
        <f t="shared" si="34"/>
        <v>73977944.489465997</v>
      </c>
      <c r="S334" s="399" t="s">
        <v>6033</v>
      </c>
      <c r="AC334" t="s">
        <v>25</v>
      </c>
      <c r="AJ334" s="53">
        <v>36</v>
      </c>
      <c r="AK334" s="53" t="s">
        <v>4543</v>
      </c>
      <c r="AL334" s="54">
        <v>82496108</v>
      </c>
      <c r="AM334" s="53">
        <v>1</v>
      </c>
      <c r="AN334" s="53">
        <f t="shared" si="40"/>
        <v>773</v>
      </c>
      <c r="AO334" s="53">
        <f t="shared" si="41"/>
        <v>63769491484</v>
      </c>
      <c r="AP334" s="53" t="s">
        <v>4546</v>
      </c>
    </row>
    <row r="335" spans="13:46">
      <c r="M335" s="361" t="s">
        <v>5519</v>
      </c>
      <c r="N335" s="1">
        <v>984486.34963200008</v>
      </c>
      <c r="O335" s="374" t="s">
        <v>6036</v>
      </c>
      <c r="P335" s="374">
        <v>283</v>
      </c>
      <c r="Q335" s="18">
        <v>2014.7222959999999</v>
      </c>
      <c r="R335" s="18">
        <f t="shared" si="34"/>
        <v>570166.40976800001</v>
      </c>
      <c r="S335" s="399" t="s">
        <v>6037</v>
      </c>
      <c r="AJ335" s="53">
        <v>37</v>
      </c>
      <c r="AK335" s="53" t="s">
        <v>4545</v>
      </c>
      <c r="AL335" s="54">
        <v>74657561</v>
      </c>
      <c r="AM335" s="53">
        <v>16</v>
      </c>
      <c r="AN335" s="53">
        <f t="shared" si="40"/>
        <v>772</v>
      </c>
      <c r="AO335" s="53">
        <f t="shared" si="41"/>
        <v>57635637092</v>
      </c>
      <c r="AP335" s="53" t="s">
        <v>4551</v>
      </c>
    </row>
    <row r="336" spans="13:46">
      <c r="M336" s="361" t="s">
        <v>5529</v>
      </c>
      <c r="N336" s="1">
        <v>2143469.938015</v>
      </c>
      <c r="O336" s="374" t="s">
        <v>6039</v>
      </c>
      <c r="P336" s="374">
        <v>1704</v>
      </c>
      <c r="Q336" s="18">
        <v>2104.0605820000001</v>
      </c>
      <c r="R336" s="18">
        <f t="shared" si="34"/>
        <v>3585319.2317280001</v>
      </c>
      <c r="S336" s="399" t="s">
        <v>4976</v>
      </c>
      <c r="AA336" t="s">
        <v>25</v>
      </c>
      <c r="AC336" t="s">
        <v>25</v>
      </c>
      <c r="AJ336" s="11">
        <v>38</v>
      </c>
      <c r="AK336" s="11" t="s">
        <v>4613</v>
      </c>
      <c r="AL336" s="37">
        <v>665000</v>
      </c>
      <c r="AM336" s="11">
        <v>0</v>
      </c>
      <c r="AN336" s="11">
        <f t="shared" si="40"/>
        <v>756</v>
      </c>
      <c r="AO336" s="20">
        <f t="shared" si="41"/>
        <v>502740000</v>
      </c>
      <c r="AP336" s="11"/>
      <c r="AT336" t="s">
        <v>25</v>
      </c>
    </row>
    <row r="337" spans="10:48">
      <c r="M337" s="361" t="s">
        <v>5530</v>
      </c>
      <c r="N337" s="1">
        <v>3085460.5177150001</v>
      </c>
      <c r="O337" s="374" t="s">
        <v>6042</v>
      </c>
      <c r="P337" s="374">
        <v>324</v>
      </c>
      <c r="Q337" s="18">
        <v>2088.5824040000002</v>
      </c>
      <c r="R337" s="18">
        <f t="shared" si="34"/>
        <v>676700.69889600005</v>
      </c>
      <c r="S337" s="399" t="s">
        <v>4976</v>
      </c>
      <c r="AJ337" s="97">
        <v>39</v>
      </c>
      <c r="AK337" s="97" t="s">
        <v>4613</v>
      </c>
      <c r="AL337" s="131">
        <v>665000</v>
      </c>
      <c r="AM337" s="97">
        <v>4</v>
      </c>
      <c r="AN337" s="135">
        <f t="shared" si="40"/>
        <v>756</v>
      </c>
      <c r="AO337" s="135">
        <f t="shared" si="41"/>
        <v>502740000</v>
      </c>
      <c r="AP337" s="135"/>
      <c r="AU337" t="s">
        <v>25</v>
      </c>
    </row>
    <row r="338" spans="10:48">
      <c r="M338" s="361" t="s">
        <v>5531</v>
      </c>
      <c r="N338" s="1">
        <v>8261456.790906</v>
      </c>
      <c r="O338" s="374" t="s">
        <v>6048</v>
      </c>
      <c r="P338" s="374">
        <v>538</v>
      </c>
      <c r="Q338" s="18">
        <v>2055.3485930000002</v>
      </c>
      <c r="R338" s="18">
        <f t="shared" si="34"/>
        <v>1105777.5430340001</v>
      </c>
      <c r="S338" s="399" t="s">
        <v>4976</v>
      </c>
      <c r="AA338" t="s">
        <v>25</v>
      </c>
      <c r="AJ338" s="20">
        <v>40</v>
      </c>
      <c r="AK338" s="20" t="s">
        <v>4622</v>
      </c>
      <c r="AL338" s="37">
        <v>2000000</v>
      </c>
      <c r="AM338" s="20">
        <v>1</v>
      </c>
      <c r="AN338" s="11">
        <f t="shared" si="40"/>
        <v>752</v>
      </c>
      <c r="AO338" s="20">
        <f t="shared" si="41"/>
        <v>1504000000</v>
      </c>
      <c r="AP338" s="11"/>
      <c r="AT338" t="s">
        <v>25</v>
      </c>
      <c r="AV338" t="s">
        <v>25</v>
      </c>
    </row>
    <row r="339" spans="10:48">
      <c r="M339" s="361" t="s">
        <v>5535</v>
      </c>
      <c r="N339" s="1">
        <v>6572373.7593120001</v>
      </c>
      <c r="O339" s="374" t="s">
        <v>6050</v>
      </c>
      <c r="P339" s="374">
        <v>1031</v>
      </c>
      <c r="Q339" s="18">
        <v>2245.620621</v>
      </c>
      <c r="R339" s="18">
        <f t="shared" si="34"/>
        <v>2315234.8602510002</v>
      </c>
      <c r="S339" s="399" t="s">
        <v>4976</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61" t="s">
        <v>5536</v>
      </c>
      <c r="N340" s="1">
        <v>2893243.5730909999</v>
      </c>
      <c r="O340" s="374" t="s">
        <v>6051</v>
      </c>
      <c r="P340" s="374">
        <v>1804</v>
      </c>
      <c r="Q340" s="18">
        <v>2292.882846</v>
      </c>
      <c r="R340" s="18">
        <f t="shared" si="34"/>
        <v>4136360.6541840001</v>
      </c>
      <c r="S340" s="399" t="s">
        <v>4976</v>
      </c>
      <c r="AA340" t="s">
        <v>25</v>
      </c>
      <c r="AC340" t="s">
        <v>25</v>
      </c>
      <c r="AJ340" s="97">
        <v>42</v>
      </c>
      <c r="AK340" s="97" t="s">
        <v>4627</v>
      </c>
      <c r="AL340" s="131">
        <v>-433375</v>
      </c>
      <c r="AM340" s="97">
        <v>0</v>
      </c>
      <c r="AN340" s="97">
        <f t="shared" si="40"/>
        <v>751</v>
      </c>
      <c r="AO340" s="97">
        <f t="shared" si="42"/>
        <v>-325464625</v>
      </c>
      <c r="AP340" s="97" t="s">
        <v>4629</v>
      </c>
    </row>
    <row r="341" spans="10:48">
      <c r="M341" s="361" t="s">
        <v>5538</v>
      </c>
      <c r="N341" s="1">
        <v>94992058.939007998</v>
      </c>
      <c r="O341" s="374" t="s">
        <v>6052</v>
      </c>
      <c r="P341" s="374">
        <v>1348</v>
      </c>
      <c r="Q341" s="18">
        <v>2252.0137020000002</v>
      </c>
      <c r="R341" s="18">
        <f t="shared" si="34"/>
        <v>3035714.4702960001</v>
      </c>
      <c r="S341" s="399" t="s">
        <v>4976</v>
      </c>
      <c r="AC341" t="s">
        <v>25</v>
      </c>
      <c r="AJ341" s="20">
        <v>43</v>
      </c>
      <c r="AK341" s="20" t="s">
        <v>4627</v>
      </c>
      <c r="AL341" s="37">
        <v>28000000</v>
      </c>
      <c r="AM341" s="20">
        <v>1</v>
      </c>
      <c r="AN341" s="11">
        <f t="shared" si="40"/>
        <v>751</v>
      </c>
      <c r="AO341" s="20">
        <f t="shared" si="42"/>
        <v>21028000000</v>
      </c>
      <c r="AP341" s="11" t="s">
        <v>3805</v>
      </c>
    </row>
    <row r="342" spans="10:48">
      <c r="J342" t="s">
        <v>25</v>
      </c>
      <c r="M342" s="361" t="s">
        <v>5542</v>
      </c>
      <c r="N342" s="1">
        <v>275021.925965</v>
      </c>
      <c r="O342" s="374" t="s">
        <v>6058</v>
      </c>
      <c r="P342" s="374">
        <v>-76536</v>
      </c>
      <c r="Q342" s="18">
        <v>2350.6086869999999</v>
      </c>
      <c r="R342" s="18">
        <f t="shared" si="34"/>
        <v>-179906186.46823201</v>
      </c>
      <c r="S342" s="399" t="s">
        <v>6059</v>
      </c>
      <c r="AJ342" s="20">
        <v>44</v>
      </c>
      <c r="AK342" s="20" t="s">
        <v>4636</v>
      </c>
      <c r="AL342" s="37">
        <v>160000</v>
      </c>
      <c r="AM342" s="20">
        <v>0</v>
      </c>
      <c r="AN342" s="11">
        <f t="shared" si="40"/>
        <v>750</v>
      </c>
      <c r="AO342" s="20">
        <f t="shared" si="42"/>
        <v>120000000</v>
      </c>
      <c r="AP342" s="11"/>
    </row>
    <row r="343" spans="10:48">
      <c r="M343" s="361" t="s">
        <v>5548</v>
      </c>
      <c r="N343" s="1">
        <v>327451.9203</v>
      </c>
      <c r="O343" s="374" t="s">
        <v>6061</v>
      </c>
      <c r="P343" s="374">
        <v>145</v>
      </c>
      <c r="Q343" s="18">
        <v>2379.7882030000001</v>
      </c>
      <c r="R343" s="18">
        <f t="shared" si="34"/>
        <v>345069.28943499998</v>
      </c>
      <c r="S343" s="399" t="s">
        <v>4976</v>
      </c>
      <c r="AB343" t="s">
        <v>25</v>
      </c>
      <c r="AJ343" s="97">
        <v>45</v>
      </c>
      <c r="AK343" s="97" t="s">
        <v>4636</v>
      </c>
      <c r="AL343" s="131">
        <v>70000</v>
      </c>
      <c r="AM343" s="97">
        <v>9</v>
      </c>
      <c r="AN343" s="97">
        <f t="shared" si="40"/>
        <v>750</v>
      </c>
      <c r="AO343" s="97">
        <f t="shared" si="42"/>
        <v>52500000</v>
      </c>
      <c r="AP343" s="97"/>
    </row>
    <row r="344" spans="10:48">
      <c r="M344" s="361" t="s">
        <v>5555</v>
      </c>
      <c r="N344" s="1">
        <v>260081.94096800001</v>
      </c>
      <c r="O344" s="189" t="s">
        <v>6061</v>
      </c>
      <c r="P344" s="189">
        <v>55</v>
      </c>
      <c r="Q344" s="190">
        <v>2379.7882030000001</v>
      </c>
      <c r="R344" s="190">
        <f t="shared" si="34"/>
        <v>130888.351165</v>
      </c>
      <c r="S344" s="398" t="s">
        <v>6146</v>
      </c>
      <c r="AA344" t="s">
        <v>25</v>
      </c>
      <c r="AJ344" s="20">
        <v>46</v>
      </c>
      <c r="AK344" s="20" t="s">
        <v>4642</v>
      </c>
      <c r="AL344" s="37">
        <v>850000</v>
      </c>
      <c r="AM344" s="20">
        <v>0</v>
      </c>
      <c r="AN344" s="11">
        <f t="shared" si="40"/>
        <v>741</v>
      </c>
      <c r="AO344" s="20">
        <f t="shared" si="42"/>
        <v>629850000</v>
      </c>
      <c r="AP344" s="11"/>
    </row>
    <row r="345" spans="10:48">
      <c r="M345" s="361" t="s">
        <v>5556</v>
      </c>
      <c r="N345" s="1">
        <v>2909284.5308940001</v>
      </c>
      <c r="O345" s="374" t="s">
        <v>6061</v>
      </c>
      <c r="P345" s="374">
        <v>53</v>
      </c>
      <c r="Q345" s="18">
        <v>2379.7882030000001</v>
      </c>
      <c r="R345" s="18">
        <f t="shared" si="34"/>
        <v>126128.77475900001</v>
      </c>
      <c r="S345" s="399" t="s">
        <v>6147</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61" t="s">
        <v>5557</v>
      </c>
      <c r="N346" s="1">
        <v>37723205.094084002</v>
      </c>
      <c r="O346" s="374" t="s">
        <v>6150</v>
      </c>
      <c r="P346" s="374">
        <v>243</v>
      </c>
      <c r="Q346" s="18">
        <v>2336.5653440000001</v>
      </c>
      <c r="R346" s="18">
        <f t="shared" si="34"/>
        <v>567785.37859199999</v>
      </c>
      <c r="S346" s="399" t="s">
        <v>4976</v>
      </c>
      <c r="AJ346" s="135">
        <v>48</v>
      </c>
      <c r="AK346" s="135" t="s">
        <v>4655</v>
      </c>
      <c r="AL346" s="136">
        <v>30000000</v>
      </c>
      <c r="AM346" s="135">
        <v>27</v>
      </c>
      <c r="AN346" s="135">
        <f t="shared" si="43"/>
        <v>737</v>
      </c>
      <c r="AO346" s="135">
        <f t="shared" si="44"/>
        <v>22110000000</v>
      </c>
      <c r="AP346" s="135" t="s">
        <v>4656</v>
      </c>
    </row>
    <row r="347" spans="10:48">
      <c r="J347" t="s">
        <v>25</v>
      </c>
      <c r="M347" s="361" t="s">
        <v>5558</v>
      </c>
      <c r="N347" s="1">
        <v>1500094.75168</v>
      </c>
      <c r="O347" s="374" t="s">
        <v>6156</v>
      </c>
      <c r="P347" s="374">
        <v>81</v>
      </c>
      <c r="Q347" s="18">
        <v>2341.77675</v>
      </c>
      <c r="R347" s="18">
        <f t="shared" si="34"/>
        <v>189683.91675</v>
      </c>
      <c r="S347" s="399" t="s">
        <v>4976</v>
      </c>
      <c r="AJ347" s="20">
        <v>49</v>
      </c>
      <c r="AK347" s="20" t="s">
        <v>4721</v>
      </c>
      <c r="AL347" s="37">
        <v>1100000</v>
      </c>
      <c r="AM347" s="20">
        <v>1</v>
      </c>
      <c r="AN347" s="20">
        <f t="shared" si="43"/>
        <v>710</v>
      </c>
      <c r="AO347" s="20">
        <f t="shared" si="44"/>
        <v>781000000</v>
      </c>
      <c r="AP347" s="20"/>
    </row>
    <row r="348" spans="10:48">
      <c r="M348" s="361" t="s">
        <v>5560</v>
      </c>
      <c r="N348" s="1">
        <v>7230628.4378079996</v>
      </c>
      <c r="O348" s="189" t="s">
        <v>6157</v>
      </c>
      <c r="P348" s="189">
        <v>21767</v>
      </c>
      <c r="Q348" s="190">
        <v>2297.060872</v>
      </c>
      <c r="R348" s="190">
        <f t="shared" si="34"/>
        <v>50000124.000823997</v>
      </c>
      <c r="S348" s="398" t="s">
        <v>6159</v>
      </c>
      <c r="AA348" t="s">
        <v>25</v>
      </c>
      <c r="AJ348" s="20">
        <v>50</v>
      </c>
      <c r="AK348" s="20" t="s">
        <v>4722</v>
      </c>
      <c r="AL348" s="37">
        <v>450000</v>
      </c>
      <c r="AM348" s="20">
        <v>0</v>
      </c>
      <c r="AN348" s="20">
        <f t="shared" si="43"/>
        <v>709</v>
      </c>
      <c r="AO348" s="20">
        <f t="shared" si="44"/>
        <v>319050000</v>
      </c>
      <c r="AP348" s="20"/>
    </row>
    <row r="349" spans="10:48">
      <c r="M349" s="361" t="s">
        <v>5561</v>
      </c>
      <c r="N349" s="1">
        <v>29767389.390390001</v>
      </c>
      <c r="O349" s="374" t="s">
        <v>6157</v>
      </c>
      <c r="P349" s="374">
        <v>4353</v>
      </c>
      <c r="Q349" s="18">
        <v>2297.060872</v>
      </c>
      <c r="R349" s="18">
        <f t="shared" si="34"/>
        <v>9999105.9758160003</v>
      </c>
      <c r="S349" s="399" t="s">
        <v>6160</v>
      </c>
      <c r="AJ349" s="97">
        <v>51</v>
      </c>
      <c r="AK349" s="97" t="s">
        <v>4722</v>
      </c>
      <c r="AL349" s="131">
        <v>550000</v>
      </c>
      <c r="AM349" s="97">
        <v>1</v>
      </c>
      <c r="AN349" s="97">
        <f t="shared" si="43"/>
        <v>709</v>
      </c>
      <c r="AO349" s="97">
        <f t="shared" si="44"/>
        <v>389950000</v>
      </c>
      <c r="AP349" s="97"/>
    </row>
    <row r="350" spans="10:48">
      <c r="M350" s="361" t="s">
        <v>5563</v>
      </c>
      <c r="N350" s="1">
        <v>151560.25597</v>
      </c>
      <c r="O350" s="374" t="s">
        <v>6157</v>
      </c>
      <c r="P350" s="374">
        <v>226</v>
      </c>
      <c r="Q350" s="18">
        <v>2297.060872</v>
      </c>
      <c r="R350" s="18">
        <f t="shared" si="34"/>
        <v>519135.75707200001</v>
      </c>
      <c r="S350" s="399" t="s">
        <v>4976</v>
      </c>
      <c r="AJ350" s="97">
        <v>52</v>
      </c>
      <c r="AK350" s="97" t="s">
        <v>4724</v>
      </c>
      <c r="AL350" s="131">
        <v>1000000</v>
      </c>
      <c r="AM350" s="97">
        <v>8</v>
      </c>
      <c r="AN350" s="97">
        <f t="shared" si="43"/>
        <v>708</v>
      </c>
      <c r="AO350" s="97">
        <f t="shared" si="44"/>
        <v>708000000</v>
      </c>
      <c r="AP350" s="97"/>
    </row>
    <row r="351" spans="10:48">
      <c r="M351" s="361" t="s">
        <v>5564</v>
      </c>
      <c r="N351" s="1">
        <v>481318.88078800001</v>
      </c>
      <c r="O351" s="374" t="s">
        <v>6163</v>
      </c>
      <c r="P351" s="374">
        <v>1416</v>
      </c>
      <c r="Q351" s="18">
        <v>2405.6595360000001</v>
      </c>
      <c r="R351" s="18">
        <f t="shared" si="34"/>
        <v>3406413.9029760002</v>
      </c>
      <c r="S351" s="399" t="s">
        <v>4976</v>
      </c>
      <c r="AJ351" s="20">
        <v>53</v>
      </c>
      <c r="AK351" s="20" t="s">
        <v>4731</v>
      </c>
      <c r="AL351" s="37">
        <v>-2668880</v>
      </c>
      <c r="AM351" s="20">
        <v>0</v>
      </c>
      <c r="AN351" s="20">
        <f t="shared" si="43"/>
        <v>700</v>
      </c>
      <c r="AO351" s="20">
        <f t="shared" si="44"/>
        <v>-1868216000</v>
      </c>
      <c r="AP351" s="20" t="s">
        <v>4733</v>
      </c>
    </row>
    <row r="352" spans="10:48">
      <c r="M352" s="361" t="s">
        <v>5575</v>
      </c>
      <c r="N352" s="1">
        <v>146277.56820000001</v>
      </c>
      <c r="O352" s="374" t="s">
        <v>6164</v>
      </c>
      <c r="P352" s="374">
        <v>172</v>
      </c>
      <c r="Q352" s="18">
        <v>2529.2810939999999</v>
      </c>
      <c r="R352" s="18">
        <f t="shared" si="34"/>
        <v>435036.348168</v>
      </c>
      <c r="S352" s="399" t="s">
        <v>4976</v>
      </c>
      <c r="AJ352" s="97">
        <v>54</v>
      </c>
      <c r="AK352" s="97" t="s">
        <v>4731</v>
      </c>
      <c r="AL352" s="131">
        <v>-1528620</v>
      </c>
      <c r="AM352" s="97">
        <v>0</v>
      </c>
      <c r="AN352" s="97">
        <f t="shared" si="43"/>
        <v>700</v>
      </c>
      <c r="AO352" s="97">
        <f t="shared" si="44"/>
        <v>-1070034000</v>
      </c>
      <c r="AP352" s="97" t="s">
        <v>4733</v>
      </c>
    </row>
    <row r="353" spans="13:47">
      <c r="M353" s="361" t="s">
        <v>5578</v>
      </c>
      <c r="N353" s="1">
        <v>424693.40162399999</v>
      </c>
      <c r="O353" s="374" t="s">
        <v>6167</v>
      </c>
      <c r="P353" s="374">
        <v>-3909</v>
      </c>
      <c r="Q353" s="18">
        <v>2881.8852230000002</v>
      </c>
      <c r="R353" s="18">
        <f>P353*Q353</f>
        <v>-11265289.336707002</v>
      </c>
      <c r="S353" s="399" t="s">
        <v>6168</v>
      </c>
      <c r="AJ353" s="20">
        <v>55</v>
      </c>
      <c r="AK353" s="20" t="s">
        <v>4731</v>
      </c>
      <c r="AL353" s="37">
        <v>50000000</v>
      </c>
      <c r="AM353" s="20">
        <v>4</v>
      </c>
      <c r="AN353" s="20">
        <f t="shared" si="43"/>
        <v>700</v>
      </c>
      <c r="AO353" s="20">
        <f t="shared" si="44"/>
        <v>35000000000</v>
      </c>
      <c r="AP353" s="20"/>
    </row>
    <row r="354" spans="13:47">
      <c r="M354" s="361" t="s">
        <v>5579</v>
      </c>
      <c r="N354" s="1">
        <v>558320.40202399995</v>
      </c>
      <c r="O354" s="189" t="s">
        <v>6167</v>
      </c>
      <c r="P354" s="189">
        <v>-932</v>
      </c>
      <c r="Q354" s="190">
        <v>2881.8852230000002</v>
      </c>
      <c r="R354" s="190">
        <f t="shared" si="34"/>
        <v>-2685917.0278360001</v>
      </c>
      <c r="S354" s="398" t="s">
        <v>6169</v>
      </c>
      <c r="AJ354" s="20">
        <v>56</v>
      </c>
      <c r="AK354" s="20" t="s">
        <v>4736</v>
      </c>
      <c r="AL354" s="37">
        <v>400000</v>
      </c>
      <c r="AM354" s="20">
        <v>4</v>
      </c>
      <c r="AN354" s="20">
        <f t="shared" ref="AN354:AN363" si="45">AM354+AN355</f>
        <v>696</v>
      </c>
      <c r="AO354" s="20">
        <f t="shared" ref="AO354:AO363" si="46">AL354*AN354</f>
        <v>278400000</v>
      </c>
      <c r="AP354" s="20"/>
    </row>
    <row r="355" spans="13:47">
      <c r="M355" s="361" t="s">
        <v>5601</v>
      </c>
      <c r="N355" s="1">
        <v>207642.22201140001</v>
      </c>
      <c r="O355" s="374" t="s">
        <v>6176</v>
      </c>
      <c r="P355" s="374">
        <v>33</v>
      </c>
      <c r="Q355" s="18">
        <v>2905.0202519999998</v>
      </c>
      <c r="R355" s="18">
        <f t="shared" si="34"/>
        <v>95865.668315999996</v>
      </c>
      <c r="S355" s="399" t="s">
        <v>4316</v>
      </c>
      <c r="AJ355" s="20">
        <v>57</v>
      </c>
      <c r="AK355" s="20" t="s">
        <v>4745</v>
      </c>
      <c r="AL355" s="37">
        <v>2000000</v>
      </c>
      <c r="AM355" s="20">
        <v>3</v>
      </c>
      <c r="AN355" s="20">
        <f t="shared" si="45"/>
        <v>692</v>
      </c>
      <c r="AO355" s="20">
        <f t="shared" si="46"/>
        <v>1384000000</v>
      </c>
      <c r="AP355" s="20"/>
    </row>
    <row r="356" spans="13:47">
      <c r="M356" s="361" t="s">
        <v>5601</v>
      </c>
      <c r="N356" s="1">
        <v>33832510.64875</v>
      </c>
      <c r="O356" s="189" t="s">
        <v>6184</v>
      </c>
      <c r="P356" s="189">
        <v>10421</v>
      </c>
      <c r="Q356" s="190">
        <v>2780.2819920000002</v>
      </c>
      <c r="R356" s="190">
        <f t="shared" si="34"/>
        <v>28973318.638632003</v>
      </c>
      <c r="S356" s="398" t="s">
        <v>6186</v>
      </c>
      <c r="AJ356" s="20">
        <v>58</v>
      </c>
      <c r="AK356" s="20" t="s">
        <v>4748</v>
      </c>
      <c r="AL356" s="37">
        <v>100000</v>
      </c>
      <c r="AM356" s="20">
        <v>4</v>
      </c>
      <c r="AN356" s="20">
        <f t="shared" si="45"/>
        <v>689</v>
      </c>
      <c r="AO356" s="20">
        <f t="shared" si="46"/>
        <v>68900000</v>
      </c>
      <c r="AP356" s="20" t="s">
        <v>3805</v>
      </c>
    </row>
    <row r="357" spans="13:47">
      <c r="M357" s="361" t="s">
        <v>5609</v>
      </c>
      <c r="N357" s="1">
        <v>637977.33504399995</v>
      </c>
      <c r="O357" s="374" t="s">
        <v>6184</v>
      </c>
      <c r="P357" s="374">
        <v>835</v>
      </c>
      <c r="Q357" s="18">
        <v>2780.2819920000002</v>
      </c>
      <c r="R357" s="18">
        <f t="shared" si="34"/>
        <v>2321535.4633200001</v>
      </c>
      <c r="S357" s="399" t="s">
        <v>4976</v>
      </c>
      <c r="AJ357" s="20">
        <v>59</v>
      </c>
      <c r="AK357" s="20" t="s">
        <v>4755</v>
      </c>
      <c r="AL357" s="37">
        <v>100000</v>
      </c>
      <c r="AM357" s="20">
        <v>7</v>
      </c>
      <c r="AN357" s="20">
        <f t="shared" si="45"/>
        <v>685</v>
      </c>
      <c r="AO357" s="20">
        <f t="shared" si="46"/>
        <v>68500000</v>
      </c>
      <c r="AP357" s="20"/>
    </row>
    <row r="358" spans="13:47" ht="18" customHeight="1">
      <c r="M358" s="361" t="s">
        <v>5610</v>
      </c>
      <c r="N358" s="1">
        <v>466552.25632400002</v>
      </c>
      <c r="O358" s="374" t="s">
        <v>6465</v>
      </c>
      <c r="P358" s="374">
        <v>410</v>
      </c>
      <c r="Q358" s="18">
        <v>2678.4068379999999</v>
      </c>
      <c r="R358" s="18">
        <f t="shared" si="34"/>
        <v>1098146.8035800001</v>
      </c>
      <c r="S358" s="399" t="s">
        <v>4976</v>
      </c>
      <c r="AJ358" s="20">
        <v>60</v>
      </c>
      <c r="AK358" s="20" t="s">
        <v>4768</v>
      </c>
      <c r="AL358" s="37">
        <v>50000</v>
      </c>
      <c r="AM358" s="20">
        <v>0</v>
      </c>
      <c r="AN358" s="20">
        <f t="shared" si="45"/>
        <v>678</v>
      </c>
      <c r="AO358" s="20">
        <f t="shared" si="46"/>
        <v>33900000</v>
      </c>
      <c r="AP358" s="20"/>
      <c r="AU358" t="s">
        <v>25</v>
      </c>
    </row>
    <row r="359" spans="13:47" ht="21" customHeight="1">
      <c r="M359" s="361" t="s">
        <v>5611</v>
      </c>
      <c r="N359" s="1">
        <v>149316.98805000001</v>
      </c>
      <c r="O359" s="374" t="s">
        <v>6469</v>
      </c>
      <c r="P359" s="374">
        <v>201</v>
      </c>
      <c r="Q359" s="18">
        <v>2688.6794049999999</v>
      </c>
      <c r="R359" s="18">
        <f t="shared" si="34"/>
        <v>540424.560405</v>
      </c>
      <c r="S359" s="399" t="s">
        <v>4976</v>
      </c>
      <c r="AJ359" s="97">
        <v>61</v>
      </c>
      <c r="AK359" s="97" t="s">
        <v>4768</v>
      </c>
      <c r="AL359" s="131">
        <v>50000</v>
      </c>
      <c r="AM359" s="97">
        <v>3</v>
      </c>
      <c r="AN359" s="97">
        <f t="shared" si="45"/>
        <v>678</v>
      </c>
      <c r="AO359" s="97">
        <f t="shared" si="46"/>
        <v>33900000</v>
      </c>
      <c r="AP359" s="97"/>
    </row>
    <row r="360" spans="13:47">
      <c r="M360" s="361" t="s">
        <v>5611</v>
      </c>
      <c r="N360" s="1">
        <v>189134.85153000001</v>
      </c>
      <c r="O360" s="374" t="s">
        <v>6470</v>
      </c>
      <c r="P360" s="374">
        <v>1133</v>
      </c>
      <c r="Q360" s="18">
        <v>2455.1740869999999</v>
      </c>
      <c r="R360" s="18">
        <f t="shared" si="34"/>
        <v>2781712.2405709997</v>
      </c>
      <c r="S360" s="399" t="s">
        <v>4976</v>
      </c>
      <c r="AB360" t="s">
        <v>25</v>
      </c>
      <c r="AJ360" s="20">
        <v>62</v>
      </c>
      <c r="AK360" s="20" t="s">
        <v>4771</v>
      </c>
      <c r="AL360" s="37">
        <v>50000</v>
      </c>
      <c r="AM360" s="20">
        <v>0</v>
      </c>
      <c r="AN360" s="20">
        <f t="shared" si="45"/>
        <v>675</v>
      </c>
      <c r="AO360" s="20">
        <f t="shared" si="46"/>
        <v>33750000</v>
      </c>
      <c r="AP360" s="20"/>
    </row>
    <row r="361" spans="13:47">
      <c r="M361" s="361" t="s">
        <v>5613</v>
      </c>
      <c r="N361" s="1">
        <v>564888.82799599995</v>
      </c>
      <c r="O361" s="374" t="s">
        <v>6473</v>
      </c>
      <c r="P361" s="374">
        <v>59</v>
      </c>
      <c r="Q361" s="18">
        <v>2706.4553110000002</v>
      </c>
      <c r="R361" s="18">
        <f t="shared" si="34"/>
        <v>159680.86334900002</v>
      </c>
      <c r="S361" s="399" t="s">
        <v>6474</v>
      </c>
      <c r="AJ361" s="135">
        <v>63</v>
      </c>
      <c r="AK361" s="135" t="s">
        <v>4771</v>
      </c>
      <c r="AL361" s="136">
        <v>50000</v>
      </c>
      <c r="AM361" s="135">
        <v>2</v>
      </c>
      <c r="AN361" s="135">
        <f t="shared" si="45"/>
        <v>675</v>
      </c>
      <c r="AO361" s="135">
        <f t="shared" si="46"/>
        <v>33750000</v>
      </c>
      <c r="AP361" s="135"/>
    </row>
    <row r="362" spans="13:47" ht="18.75" customHeight="1">
      <c r="M362" s="361" t="s">
        <v>5616</v>
      </c>
      <c r="N362" s="1">
        <v>8762299.2047910001</v>
      </c>
      <c r="O362" s="374" t="s">
        <v>6493</v>
      </c>
      <c r="P362" s="374">
        <v>4795</v>
      </c>
      <c r="Q362" s="18">
        <v>2908.4025580000002</v>
      </c>
      <c r="R362" s="18">
        <f t="shared" si="34"/>
        <v>13945790.265610002</v>
      </c>
      <c r="S362" s="399" t="s">
        <v>5216</v>
      </c>
      <c r="AA362" t="s">
        <v>25</v>
      </c>
      <c r="AJ362" s="20">
        <v>64</v>
      </c>
      <c r="AK362" s="20" t="s">
        <v>4778</v>
      </c>
      <c r="AL362" s="37">
        <v>25000</v>
      </c>
      <c r="AM362" s="20">
        <v>0</v>
      </c>
      <c r="AN362" s="20">
        <f t="shared" si="45"/>
        <v>673</v>
      </c>
      <c r="AO362" s="20">
        <f t="shared" si="46"/>
        <v>16825000</v>
      </c>
      <c r="AP362" s="20"/>
    </row>
    <row r="363" spans="13:47">
      <c r="M363" s="361" t="s">
        <v>5616</v>
      </c>
      <c r="N363" s="1">
        <v>-341847876.93843603</v>
      </c>
      <c r="O363" s="374" t="s">
        <v>6495</v>
      </c>
      <c r="P363" s="374">
        <v>164</v>
      </c>
      <c r="Q363" s="18">
        <v>2792.1636870000002</v>
      </c>
      <c r="R363" s="18">
        <f t="shared" si="34"/>
        <v>457914.84466800001</v>
      </c>
      <c r="S363" s="399" t="s">
        <v>5216</v>
      </c>
      <c r="AB363" t="s">
        <v>25</v>
      </c>
      <c r="AJ363" s="97">
        <v>65</v>
      </c>
      <c r="AK363" s="97" t="s">
        <v>4778</v>
      </c>
      <c r="AL363" s="131">
        <v>35000</v>
      </c>
      <c r="AM363" s="97">
        <v>7</v>
      </c>
      <c r="AN363" s="97">
        <f t="shared" si="45"/>
        <v>673</v>
      </c>
      <c r="AO363" s="97">
        <f t="shared" si="46"/>
        <v>23555000</v>
      </c>
      <c r="AP363" s="97"/>
    </row>
    <row r="364" spans="13:47">
      <c r="M364" s="361" t="s">
        <v>5638</v>
      </c>
      <c r="N364" s="1">
        <v>259993.58394100002</v>
      </c>
      <c r="O364" s="374" t="s">
        <v>6496</v>
      </c>
      <c r="P364" s="374">
        <v>352</v>
      </c>
      <c r="Q364" s="18">
        <v>2768.6657369999998</v>
      </c>
      <c r="R364" s="18">
        <f t="shared" si="34"/>
        <v>974570.33942399989</v>
      </c>
      <c r="S364" s="399" t="s">
        <v>5216</v>
      </c>
      <c r="AJ364" s="97">
        <v>66</v>
      </c>
      <c r="AK364" s="97" t="s">
        <v>4786</v>
      </c>
      <c r="AL364" s="131">
        <v>30000000</v>
      </c>
      <c r="AM364" s="97">
        <v>0</v>
      </c>
      <c r="AN364" s="97">
        <f t="shared" ref="AN364:AN383" si="47">AM364+AN365</f>
        <v>666</v>
      </c>
      <c r="AO364" s="97">
        <f t="shared" ref="AO364:AO383" si="48">AL364*AN364</f>
        <v>19980000000</v>
      </c>
      <c r="AP364" s="97"/>
    </row>
    <row r="365" spans="13:47">
      <c r="M365" s="361" t="s">
        <v>5639</v>
      </c>
      <c r="N365" s="1">
        <v>269955.31205999997</v>
      </c>
      <c r="O365" s="374" t="s">
        <v>6497</v>
      </c>
      <c r="P365" s="374">
        <v>283</v>
      </c>
      <c r="Q365" s="18">
        <v>2636.7439079999999</v>
      </c>
      <c r="R365" s="18">
        <f t="shared" si="34"/>
        <v>746198.52596400003</v>
      </c>
      <c r="S365" s="399" t="s">
        <v>5216</v>
      </c>
      <c r="AJ365" s="20">
        <v>67</v>
      </c>
      <c r="AK365" s="20" t="s">
        <v>4786</v>
      </c>
      <c r="AL365" s="37">
        <v>6800000</v>
      </c>
      <c r="AM365" s="20">
        <v>1</v>
      </c>
      <c r="AN365" s="20">
        <f t="shared" si="47"/>
        <v>666</v>
      </c>
      <c r="AO365" s="20">
        <f t="shared" si="48"/>
        <v>4528800000</v>
      </c>
      <c r="AP365" s="20"/>
    </row>
    <row r="366" spans="13:47">
      <c r="M366" s="361" t="s">
        <v>5991</v>
      </c>
      <c r="N366" s="1">
        <v>560534.38387200003</v>
      </c>
      <c r="O366" s="374" t="s">
        <v>6499</v>
      </c>
      <c r="P366" s="374">
        <v>154</v>
      </c>
      <c r="Q366" s="18">
        <v>2702</v>
      </c>
      <c r="R366" s="18">
        <f t="shared" si="34"/>
        <v>416108</v>
      </c>
      <c r="S366" s="399" t="s">
        <v>5216</v>
      </c>
      <c r="AA366" t="s">
        <v>25</v>
      </c>
      <c r="AJ366" s="20">
        <v>68</v>
      </c>
      <c r="AK366" s="20" t="s">
        <v>4789</v>
      </c>
      <c r="AL366" s="37">
        <v>500000</v>
      </c>
      <c r="AM366" s="20">
        <v>1</v>
      </c>
      <c r="AN366" s="20">
        <f t="shared" si="47"/>
        <v>665</v>
      </c>
      <c r="AO366" s="20">
        <f t="shared" si="48"/>
        <v>332500000</v>
      </c>
      <c r="AP366" s="20"/>
    </row>
    <row r="367" spans="13:47">
      <c r="M367" s="361" t="s">
        <v>5993</v>
      </c>
      <c r="N367" s="1">
        <v>581484.96802499995</v>
      </c>
      <c r="O367" s="374" t="s">
        <v>6510</v>
      </c>
      <c r="P367" s="374">
        <v>135</v>
      </c>
      <c r="Q367" s="18">
        <v>2678.6709300000002</v>
      </c>
      <c r="R367" s="18">
        <f t="shared" si="34"/>
        <v>361620.57555000001</v>
      </c>
      <c r="S367" s="399" t="s">
        <v>5216</v>
      </c>
      <c r="AA367" t="s">
        <v>25</v>
      </c>
      <c r="AJ367" s="20">
        <v>69</v>
      </c>
      <c r="AK367" s="20" t="s">
        <v>4793</v>
      </c>
      <c r="AL367" s="37">
        <v>850000</v>
      </c>
      <c r="AM367" s="20">
        <v>5</v>
      </c>
      <c r="AN367" s="20">
        <f t="shared" si="47"/>
        <v>664</v>
      </c>
      <c r="AO367" s="20">
        <f t="shared" si="48"/>
        <v>564400000</v>
      </c>
      <c r="AP367" s="20"/>
    </row>
    <row r="368" spans="13:47">
      <c r="M368" s="361" t="s">
        <v>5995</v>
      </c>
      <c r="N368" s="1">
        <v>2136964.3409779998</v>
      </c>
      <c r="O368" s="374" t="s">
        <v>6511</v>
      </c>
      <c r="P368" s="374">
        <v>291</v>
      </c>
      <c r="Q368" s="18">
        <v>2616.1873500000002</v>
      </c>
      <c r="R368" s="18">
        <f t="shared" si="34"/>
        <v>761310.51884999999</v>
      </c>
      <c r="S368" s="399" t="s">
        <v>5216</v>
      </c>
      <c r="AD368" t="s">
        <v>25</v>
      </c>
      <c r="AJ368" s="20">
        <v>70</v>
      </c>
      <c r="AK368" s="20" t="s">
        <v>4799</v>
      </c>
      <c r="AL368" s="37">
        <v>1130250</v>
      </c>
      <c r="AM368" s="20">
        <v>0</v>
      </c>
      <c r="AN368" s="20">
        <f t="shared" si="47"/>
        <v>659</v>
      </c>
      <c r="AO368" s="20">
        <f t="shared" si="48"/>
        <v>744834750</v>
      </c>
      <c r="AP368" s="20"/>
    </row>
    <row r="369" spans="13:47">
      <c r="M369" s="361" t="s">
        <v>5998</v>
      </c>
      <c r="N369" s="1">
        <v>593783.22629999998</v>
      </c>
      <c r="O369" s="374" t="s">
        <v>6512</v>
      </c>
      <c r="P369" s="374">
        <v>1194</v>
      </c>
      <c r="Q369" s="18">
        <v>2552.0103049999998</v>
      </c>
      <c r="R369" s="18">
        <f t="shared" si="34"/>
        <v>3047100.3041699999</v>
      </c>
      <c r="S369" s="399" t="s">
        <v>5216</v>
      </c>
      <c r="AJ369" s="172">
        <v>71</v>
      </c>
      <c r="AK369" s="172" t="s">
        <v>4799</v>
      </c>
      <c r="AL369" s="166">
        <v>30000</v>
      </c>
      <c r="AM369" s="172">
        <v>5</v>
      </c>
      <c r="AN369" s="172">
        <f t="shared" si="47"/>
        <v>659</v>
      </c>
      <c r="AO369" s="172">
        <f t="shared" si="48"/>
        <v>19770000</v>
      </c>
      <c r="AP369" s="172"/>
    </row>
    <row r="370" spans="13:47">
      <c r="M370" s="361" t="s">
        <v>6002</v>
      </c>
      <c r="N370" s="1">
        <v>469469.96222000004</v>
      </c>
      <c r="O370" s="374" t="s">
        <v>6514</v>
      </c>
      <c r="P370" s="374">
        <v>928</v>
      </c>
      <c r="Q370" s="18">
        <v>2626.1621239999999</v>
      </c>
      <c r="R370" s="18">
        <f t="shared" si="34"/>
        <v>2437078.451072</v>
      </c>
      <c r="S370" s="399" t="s">
        <v>5216</v>
      </c>
      <c r="AA370" t="s">
        <v>25</v>
      </c>
      <c r="AJ370" s="20">
        <v>72</v>
      </c>
      <c r="AK370" s="20" t="s">
        <v>4805</v>
      </c>
      <c r="AL370" s="37">
        <v>206000</v>
      </c>
      <c r="AM370" s="20">
        <v>0</v>
      </c>
      <c r="AN370" s="20">
        <f t="shared" si="47"/>
        <v>654</v>
      </c>
      <c r="AO370" s="20">
        <f t="shared" si="48"/>
        <v>134724000</v>
      </c>
      <c r="AP370" s="20"/>
    </row>
    <row r="371" spans="13:47">
      <c r="M371" s="361" t="s">
        <v>6032</v>
      </c>
      <c r="N371" s="1">
        <v>73977944.489465997</v>
      </c>
      <c r="O371" s="189" t="s">
        <v>6568</v>
      </c>
      <c r="P371" s="189">
        <v>-15181</v>
      </c>
      <c r="Q371" s="190">
        <v>2675.3319820000002</v>
      </c>
      <c r="R371" s="190">
        <f t="shared" si="34"/>
        <v>-40614214.818742</v>
      </c>
      <c r="S371" s="398" t="s">
        <v>6569</v>
      </c>
      <c r="AJ371" s="97">
        <v>73</v>
      </c>
      <c r="AK371" s="97" t="s">
        <v>4805</v>
      </c>
      <c r="AL371" s="131">
        <v>206000</v>
      </c>
      <c r="AM371" s="97">
        <v>2</v>
      </c>
      <c r="AN371" s="97">
        <f t="shared" si="47"/>
        <v>654</v>
      </c>
      <c r="AO371" s="97">
        <f t="shared" si="48"/>
        <v>134724000</v>
      </c>
      <c r="AP371" s="97"/>
    </row>
    <row r="372" spans="13:47">
      <c r="M372" s="361" t="s">
        <v>6036</v>
      </c>
      <c r="N372" s="1">
        <v>570166.40976800001</v>
      </c>
      <c r="O372" s="374" t="s">
        <v>6588</v>
      </c>
      <c r="P372" s="374">
        <v>3122</v>
      </c>
      <c r="Q372" s="18">
        <v>2481.626972</v>
      </c>
      <c r="R372" s="18">
        <f t="shared" si="34"/>
        <v>7747639.4065840002</v>
      </c>
      <c r="S372" s="399" t="s">
        <v>5216</v>
      </c>
      <c r="AJ372" s="20">
        <v>74</v>
      </c>
      <c r="AK372" s="20" t="s">
        <v>4812</v>
      </c>
      <c r="AL372" s="37">
        <v>50000</v>
      </c>
      <c r="AM372" s="20">
        <v>0</v>
      </c>
      <c r="AN372" s="20">
        <f t="shared" si="47"/>
        <v>652</v>
      </c>
      <c r="AO372" s="20">
        <f t="shared" si="48"/>
        <v>32600000</v>
      </c>
      <c r="AP372" s="20"/>
      <c r="AT372" t="s">
        <v>25</v>
      </c>
    </row>
    <row r="373" spans="13:47">
      <c r="M373" s="361" t="s">
        <v>6039</v>
      </c>
      <c r="N373" s="1">
        <v>3585319.2317280001</v>
      </c>
      <c r="O373" s="374" t="s">
        <v>6589</v>
      </c>
      <c r="P373" s="374">
        <v>2209</v>
      </c>
      <c r="Q373" s="18">
        <v>2528.2563839999998</v>
      </c>
      <c r="R373" s="18">
        <f t="shared" si="34"/>
        <v>5584918.3522559991</v>
      </c>
      <c r="S373" s="399" t="s">
        <v>5216</v>
      </c>
      <c r="AJ373" s="172">
        <v>75</v>
      </c>
      <c r="AK373" s="172" t="s">
        <v>4812</v>
      </c>
      <c r="AL373" s="166">
        <v>50000</v>
      </c>
      <c r="AM373" s="172">
        <v>2</v>
      </c>
      <c r="AN373" s="172">
        <f t="shared" si="47"/>
        <v>652</v>
      </c>
      <c r="AO373" s="172">
        <f t="shared" si="48"/>
        <v>32600000</v>
      </c>
      <c r="AP373" s="172"/>
    </row>
    <row r="374" spans="13:47">
      <c r="M374" s="361" t="s">
        <v>6042</v>
      </c>
      <c r="N374" s="1">
        <v>676700.69889600005</v>
      </c>
      <c r="O374" s="189" t="s">
        <v>6590</v>
      </c>
      <c r="P374" s="189">
        <v>2977</v>
      </c>
      <c r="Q374" s="190">
        <v>2451.5674020000001</v>
      </c>
      <c r="R374" s="190">
        <f t="shared" si="34"/>
        <v>7298316.1557539999</v>
      </c>
      <c r="S374" s="398" t="s">
        <v>1005</v>
      </c>
      <c r="AA374" t="s">
        <v>25</v>
      </c>
      <c r="AJ374" s="20">
        <v>76</v>
      </c>
      <c r="AK374" s="20" t="s">
        <v>4816</v>
      </c>
      <c r="AL374" s="37">
        <v>20000000</v>
      </c>
      <c r="AM374" s="20">
        <v>7</v>
      </c>
      <c r="AN374" s="20">
        <f t="shared" si="47"/>
        <v>650</v>
      </c>
      <c r="AO374" s="20">
        <f t="shared" si="48"/>
        <v>13000000000</v>
      </c>
      <c r="AP374" s="20" t="s">
        <v>4817</v>
      </c>
      <c r="AU374" t="s">
        <v>25</v>
      </c>
    </row>
    <row r="375" spans="13:47">
      <c r="M375" s="361" t="s">
        <v>6048</v>
      </c>
      <c r="N375" s="1">
        <v>1105777.5430340001</v>
      </c>
      <c r="O375" s="374" t="s">
        <v>6590</v>
      </c>
      <c r="P375" s="374">
        <v>2857</v>
      </c>
      <c r="Q375" s="18">
        <v>2451.5674020000001</v>
      </c>
      <c r="R375" s="18">
        <f t="shared" si="34"/>
        <v>7004128.0675140005</v>
      </c>
      <c r="S375" s="399" t="s">
        <v>690</v>
      </c>
      <c r="AA375" t="s">
        <v>25</v>
      </c>
      <c r="AJ375" s="20">
        <v>77</v>
      </c>
      <c r="AK375" s="20" t="s">
        <v>4827</v>
      </c>
      <c r="AL375" s="37">
        <v>50000</v>
      </c>
      <c r="AM375" s="20">
        <v>0</v>
      </c>
      <c r="AN375" s="20">
        <f t="shared" si="47"/>
        <v>643</v>
      </c>
      <c r="AO375" s="20">
        <f t="shared" si="48"/>
        <v>32150000</v>
      </c>
      <c r="AP375" s="20"/>
    </row>
    <row r="376" spans="13:47">
      <c r="M376" s="361" t="s">
        <v>6050</v>
      </c>
      <c r="N376" s="1">
        <v>2315234.8602510002</v>
      </c>
      <c r="O376" s="374" t="s">
        <v>6590</v>
      </c>
      <c r="P376" s="374">
        <v>234</v>
      </c>
      <c r="Q376" s="18">
        <v>2451.5674020000001</v>
      </c>
      <c r="R376" s="18">
        <f t="shared" si="34"/>
        <v>573666.77206800005</v>
      </c>
      <c r="S376" s="399" t="s">
        <v>4976</v>
      </c>
      <c r="AJ376" s="97">
        <v>78</v>
      </c>
      <c r="AK376" s="97" t="s">
        <v>4827</v>
      </c>
      <c r="AL376" s="131">
        <v>50000</v>
      </c>
      <c r="AM376" s="97">
        <v>7</v>
      </c>
      <c r="AN376" s="97">
        <f t="shared" si="47"/>
        <v>643</v>
      </c>
      <c r="AO376" s="97">
        <f t="shared" si="48"/>
        <v>32150000</v>
      </c>
      <c r="AP376" s="97"/>
    </row>
    <row r="377" spans="13:47">
      <c r="M377" s="361" t="s">
        <v>6051</v>
      </c>
      <c r="N377" s="1">
        <v>4136360.6541840001</v>
      </c>
      <c r="O377" s="374" t="s">
        <v>6593</v>
      </c>
      <c r="P377" s="374">
        <v>751</v>
      </c>
      <c r="Q377" s="18">
        <v>2490.0381539999998</v>
      </c>
      <c r="R377" s="18">
        <f t="shared" si="34"/>
        <v>1870018.6536539998</v>
      </c>
      <c r="S377" s="399" t="s">
        <v>4976</v>
      </c>
      <c r="AA377" t="s">
        <v>25</v>
      </c>
      <c r="AJ377" s="20">
        <v>79</v>
      </c>
      <c r="AK377" s="20" t="s">
        <v>4833</v>
      </c>
      <c r="AL377" s="37">
        <v>2480000</v>
      </c>
      <c r="AM377" s="20">
        <v>0</v>
      </c>
      <c r="AN377" s="20">
        <f t="shared" si="47"/>
        <v>636</v>
      </c>
      <c r="AO377" s="20">
        <f t="shared" si="48"/>
        <v>1577280000</v>
      </c>
      <c r="AP377" s="20"/>
      <c r="AT377" t="s">
        <v>25</v>
      </c>
    </row>
    <row r="378" spans="13:47">
      <c r="M378" s="361" t="s">
        <v>6052</v>
      </c>
      <c r="N378" s="1">
        <v>3035714.4702960001</v>
      </c>
      <c r="O378" s="374" t="s">
        <v>6597</v>
      </c>
      <c r="P378" s="374">
        <v>44</v>
      </c>
      <c r="Q378" s="18">
        <v>2664.1462569999999</v>
      </c>
      <c r="R378" s="18">
        <f t="shared" si="34"/>
        <v>117222.435308</v>
      </c>
      <c r="S378" s="399" t="s">
        <v>4976</v>
      </c>
      <c r="AJ378" s="97">
        <v>80</v>
      </c>
      <c r="AK378" s="97" t="s">
        <v>4833</v>
      </c>
      <c r="AL378" s="131">
        <v>2480000</v>
      </c>
      <c r="AM378" s="97">
        <v>12</v>
      </c>
      <c r="AN378" s="97">
        <f t="shared" si="47"/>
        <v>636</v>
      </c>
      <c r="AO378" s="97">
        <f t="shared" si="48"/>
        <v>1577280000</v>
      </c>
      <c r="AP378" s="97"/>
    </row>
    <row r="379" spans="13:47">
      <c r="M379" s="361" t="s">
        <v>6058</v>
      </c>
      <c r="N379" s="1">
        <v>-179906186.46823201</v>
      </c>
      <c r="O379" s="374" t="s">
        <v>6598</v>
      </c>
      <c r="P379" s="374">
        <v>717</v>
      </c>
      <c r="Q379" s="18">
        <v>2706.9144700000002</v>
      </c>
      <c r="R379" s="18">
        <f t="shared" si="34"/>
        <v>1940857.6749900002</v>
      </c>
      <c r="S379" s="399" t="s">
        <v>4976</v>
      </c>
      <c r="AB379" t="s">
        <v>25</v>
      </c>
      <c r="AJ379" s="20">
        <v>81</v>
      </c>
      <c r="AK379" s="20" t="s">
        <v>4840</v>
      </c>
      <c r="AL379" s="37">
        <v>-24159500</v>
      </c>
      <c r="AM379" s="20">
        <v>4</v>
      </c>
      <c r="AN379" s="20">
        <f t="shared" si="47"/>
        <v>624</v>
      </c>
      <c r="AO379" s="20">
        <f t="shared" si="48"/>
        <v>-15075528000</v>
      </c>
      <c r="AP379" s="20" t="s">
        <v>4848</v>
      </c>
    </row>
    <row r="380" spans="13:47">
      <c r="M380" s="361" t="s">
        <v>6061</v>
      </c>
      <c r="N380" s="1">
        <v>345069.28943499998</v>
      </c>
      <c r="O380" s="374" t="s">
        <v>6611</v>
      </c>
      <c r="P380" s="374">
        <v>86686</v>
      </c>
      <c r="Q380" s="18">
        <v>2307.1718759999999</v>
      </c>
      <c r="R380" s="18">
        <f t="shared" si="34"/>
        <v>199999501.24293599</v>
      </c>
      <c r="S380" s="374" t="s">
        <v>6614</v>
      </c>
      <c r="AJ380" s="20">
        <v>82</v>
      </c>
      <c r="AK380" s="20" t="s">
        <v>4850</v>
      </c>
      <c r="AL380" s="37">
        <v>400000</v>
      </c>
      <c r="AM380" s="20">
        <v>3</v>
      </c>
      <c r="AN380" s="20">
        <f t="shared" si="47"/>
        <v>620</v>
      </c>
      <c r="AO380" s="20">
        <f t="shared" si="48"/>
        <v>248000000</v>
      </c>
      <c r="AP380" s="20"/>
    </row>
    <row r="381" spans="13:47">
      <c r="M381" s="361" t="s">
        <v>6150</v>
      </c>
      <c r="N381" s="1">
        <v>567785.37859199999</v>
      </c>
      <c r="O381" s="374" t="s">
        <v>6617</v>
      </c>
      <c r="P381" s="374">
        <v>81</v>
      </c>
      <c r="Q381" s="18">
        <v>2411.414808</v>
      </c>
      <c r="R381" s="18">
        <f t="shared" si="34"/>
        <v>195324.59944799999</v>
      </c>
      <c r="S381" s="399" t="s">
        <v>4976</v>
      </c>
      <c r="AA381" t="s">
        <v>25</v>
      </c>
      <c r="AJ381" s="97">
        <v>83</v>
      </c>
      <c r="AK381" s="97" t="s">
        <v>4857</v>
      </c>
      <c r="AL381" s="131">
        <v>40000</v>
      </c>
      <c r="AM381" s="97">
        <v>0</v>
      </c>
      <c r="AN381" s="97">
        <f t="shared" si="47"/>
        <v>617</v>
      </c>
      <c r="AO381" s="97">
        <f t="shared" si="48"/>
        <v>24680000</v>
      </c>
      <c r="AP381" s="97"/>
      <c r="AR381" t="s">
        <v>25</v>
      </c>
    </row>
    <row r="382" spans="13:47">
      <c r="M382" s="361" t="s">
        <v>6156</v>
      </c>
      <c r="N382" s="1">
        <v>189683.91675</v>
      </c>
      <c r="O382" s="374" t="s">
        <v>6617</v>
      </c>
      <c r="P382" s="374">
        <v>8426</v>
      </c>
      <c r="Q382" s="18">
        <v>2411.414808</v>
      </c>
      <c r="R382" s="18">
        <f t="shared" si="34"/>
        <v>20318581.172208</v>
      </c>
      <c r="S382" s="374" t="s">
        <v>6618</v>
      </c>
      <c r="AJ382" s="20">
        <v>84</v>
      </c>
      <c r="AK382" s="20" t="s">
        <v>4857</v>
      </c>
      <c r="AL382" s="37">
        <v>40000</v>
      </c>
      <c r="AM382" s="20">
        <v>5</v>
      </c>
      <c r="AN382" s="20">
        <f t="shared" si="47"/>
        <v>617</v>
      </c>
      <c r="AO382" s="20">
        <f t="shared" si="48"/>
        <v>24680000</v>
      </c>
      <c r="AP382" s="20"/>
    </row>
    <row r="383" spans="13:47">
      <c r="M383" s="361" t="s">
        <v>6157</v>
      </c>
      <c r="N383" s="1">
        <v>10000000</v>
      </c>
      <c r="O383" s="374" t="s">
        <v>6619</v>
      </c>
      <c r="P383" s="374">
        <v>1242</v>
      </c>
      <c r="Q383" s="18">
        <v>2330.0938919999999</v>
      </c>
      <c r="R383" s="18">
        <f t="shared" si="34"/>
        <v>2893976.613864</v>
      </c>
      <c r="S383" s="399" t="s">
        <v>4976</v>
      </c>
      <c r="AC383" t="s">
        <v>25</v>
      </c>
      <c r="AJ383" s="20">
        <v>85</v>
      </c>
      <c r="AK383" s="20" t="s">
        <v>4865</v>
      </c>
      <c r="AL383" s="37">
        <v>200000</v>
      </c>
      <c r="AM383" s="20">
        <v>1</v>
      </c>
      <c r="AN383" s="20">
        <f t="shared" si="47"/>
        <v>612</v>
      </c>
      <c r="AO383" s="20">
        <f t="shared" si="48"/>
        <v>122400000</v>
      </c>
      <c r="AP383" s="20"/>
    </row>
    <row r="384" spans="13:47">
      <c r="M384" s="361" t="s">
        <v>6157</v>
      </c>
      <c r="N384" s="1">
        <v>519135.75707200001</v>
      </c>
      <c r="O384" s="374" t="s">
        <v>6620</v>
      </c>
      <c r="P384" s="374">
        <v>149</v>
      </c>
      <c r="Q384" s="18">
        <v>2336.750747</v>
      </c>
      <c r="R384" s="18">
        <f t="shared" si="34"/>
        <v>348175.86130300001</v>
      </c>
      <c r="S384" s="399" t="s">
        <v>4976</v>
      </c>
      <c r="AJ384" s="20">
        <v>86</v>
      </c>
      <c r="AK384" s="20" t="s">
        <v>4869</v>
      </c>
      <c r="AL384" s="37">
        <v>500000</v>
      </c>
      <c r="AM384" s="20">
        <v>2</v>
      </c>
      <c r="AN384" s="20">
        <f t="shared" ref="AN384:AN413" si="49">AM384+AN385</f>
        <v>611</v>
      </c>
      <c r="AO384" s="20">
        <f t="shared" ref="AO384:AO413" si="50">AL384*AN384</f>
        <v>305500000</v>
      </c>
      <c r="AP384" s="20"/>
    </row>
    <row r="385" spans="13:47">
      <c r="M385" s="361" t="s">
        <v>6163</v>
      </c>
      <c r="N385" s="1">
        <v>3406413.9029760002</v>
      </c>
      <c r="O385" s="374" t="s">
        <v>6622</v>
      </c>
      <c r="P385" s="374">
        <v>125</v>
      </c>
      <c r="Q385" s="18">
        <v>2522.243884</v>
      </c>
      <c r="R385" s="18">
        <f t="shared" si="34"/>
        <v>315280.48550000001</v>
      </c>
      <c r="S385" s="399" t="s">
        <v>4976</v>
      </c>
      <c r="AJ385" s="20">
        <v>87</v>
      </c>
      <c r="AK385" s="20" t="s">
        <v>4870</v>
      </c>
      <c r="AL385" s="37">
        <v>500000</v>
      </c>
      <c r="AM385" s="20">
        <v>3</v>
      </c>
      <c r="AN385" s="20">
        <f t="shared" si="49"/>
        <v>609</v>
      </c>
      <c r="AO385" s="20">
        <f t="shared" si="50"/>
        <v>304500000</v>
      </c>
      <c r="AP385" s="20"/>
    </row>
    <row r="386" spans="13:47">
      <c r="M386" s="361" t="s">
        <v>6164</v>
      </c>
      <c r="N386" s="1">
        <v>435036.348168</v>
      </c>
      <c r="O386" s="374" t="s">
        <v>6622</v>
      </c>
      <c r="P386" s="374">
        <v>2429</v>
      </c>
      <c r="Q386" s="18">
        <v>2522.243884</v>
      </c>
      <c r="R386" s="18">
        <f t="shared" si="34"/>
        <v>6126530.3942360003</v>
      </c>
      <c r="S386" s="399" t="s">
        <v>6623</v>
      </c>
      <c r="AJ386" s="20">
        <v>88</v>
      </c>
      <c r="AK386" s="20" t="s">
        <v>4862</v>
      </c>
      <c r="AL386" s="37">
        <v>250000</v>
      </c>
      <c r="AM386" s="20">
        <v>0</v>
      </c>
      <c r="AN386" s="20">
        <f t="shared" si="49"/>
        <v>606</v>
      </c>
      <c r="AO386" s="20">
        <f t="shared" si="50"/>
        <v>151500000</v>
      </c>
      <c r="AP386" s="20"/>
      <c r="AS386" t="s">
        <v>25</v>
      </c>
    </row>
    <row r="387" spans="13:47">
      <c r="M387" s="361" t="s">
        <v>6184</v>
      </c>
      <c r="N387" s="1">
        <v>2321535.4633200001</v>
      </c>
      <c r="O387" s="374" t="s">
        <v>6622</v>
      </c>
      <c r="P387" s="374">
        <v>-2429</v>
      </c>
      <c r="Q387" s="18">
        <v>2522.243884</v>
      </c>
      <c r="R387" s="18">
        <f t="shared" si="34"/>
        <v>-6126530.3942360003</v>
      </c>
      <c r="S387" s="374" t="s">
        <v>6624</v>
      </c>
      <c r="AH387" t="s">
        <v>25</v>
      </c>
      <c r="AJ387" s="172">
        <v>89</v>
      </c>
      <c r="AK387" s="172" t="s">
        <v>4862</v>
      </c>
      <c r="AL387" s="166">
        <v>245000</v>
      </c>
      <c r="AM387" s="172">
        <v>16</v>
      </c>
      <c r="AN387" s="172">
        <f t="shared" si="49"/>
        <v>606</v>
      </c>
      <c r="AO387" s="172">
        <f t="shared" si="50"/>
        <v>148470000</v>
      </c>
      <c r="AP387" s="172"/>
    </row>
    <row r="388" spans="13:47">
      <c r="M388" s="361" t="s">
        <v>6465</v>
      </c>
      <c r="N388" s="1">
        <v>1098146.8035800001</v>
      </c>
      <c r="O388" s="374" t="s">
        <v>6626</v>
      </c>
      <c r="P388" s="374">
        <v>73</v>
      </c>
      <c r="Q388" s="18">
        <v>2521.1733559999998</v>
      </c>
      <c r="R388" s="18">
        <f t="shared" si="34"/>
        <v>184045.65498799999</v>
      </c>
      <c r="S388" s="374" t="s">
        <v>4976</v>
      </c>
      <c r="AJ388" s="20">
        <v>90</v>
      </c>
      <c r="AK388" s="20" t="s">
        <v>4895</v>
      </c>
      <c r="AL388" s="37">
        <v>312598</v>
      </c>
      <c r="AM388" s="20">
        <v>0</v>
      </c>
      <c r="AN388" s="20">
        <f t="shared" si="49"/>
        <v>590</v>
      </c>
      <c r="AO388" s="20">
        <f t="shared" si="50"/>
        <v>184432820</v>
      </c>
      <c r="AP388" s="20"/>
      <c r="AU388" t="s">
        <v>25</v>
      </c>
    </row>
    <row r="389" spans="13:47">
      <c r="M389" s="361" t="s">
        <v>6469</v>
      </c>
      <c r="N389" s="1">
        <v>540424.560405</v>
      </c>
      <c r="O389" s="374" t="s">
        <v>6638</v>
      </c>
      <c r="P389" s="374">
        <v>1275</v>
      </c>
      <c r="Q389" s="18">
        <v>2528.6778709999999</v>
      </c>
      <c r="R389" s="18">
        <f t="shared" si="34"/>
        <v>3224064.2855249997</v>
      </c>
      <c r="S389" s="374" t="s">
        <v>4976</v>
      </c>
      <c r="AJ389" s="20">
        <v>91</v>
      </c>
      <c r="AK389" s="20" t="s">
        <v>4895</v>
      </c>
      <c r="AL389" s="37">
        <v>780000</v>
      </c>
      <c r="AM389" s="20">
        <v>0</v>
      </c>
      <c r="AN389" s="20">
        <f t="shared" si="49"/>
        <v>590</v>
      </c>
      <c r="AO389" s="20">
        <f t="shared" si="50"/>
        <v>460200000</v>
      </c>
      <c r="AP389" s="20"/>
    </row>
    <row r="390" spans="13:47">
      <c r="M390" s="361" t="s">
        <v>6470</v>
      </c>
      <c r="N390" s="1">
        <v>2781712.2405709997</v>
      </c>
      <c r="O390" s="374" t="s">
        <v>6639</v>
      </c>
      <c r="P390" s="374">
        <v>57</v>
      </c>
      <c r="Q390" s="18">
        <v>2549.1635460000002</v>
      </c>
      <c r="R390" s="18">
        <f t="shared" si="34"/>
        <v>145302.32212200001</v>
      </c>
      <c r="S390" s="374" t="s">
        <v>4976</v>
      </c>
      <c r="AJ390" s="135">
        <v>92</v>
      </c>
      <c r="AK390" s="135" t="s">
        <v>4895</v>
      </c>
      <c r="AL390" s="136">
        <v>-300000</v>
      </c>
      <c r="AM390" s="135">
        <v>1</v>
      </c>
      <c r="AN390" s="135">
        <f t="shared" si="49"/>
        <v>590</v>
      </c>
      <c r="AO390" s="135">
        <f t="shared" si="50"/>
        <v>-177000000</v>
      </c>
      <c r="AP390" s="135"/>
    </row>
    <row r="391" spans="13:47">
      <c r="M391" s="361" t="s">
        <v>6473</v>
      </c>
      <c r="N391" s="1">
        <v>159680.86334900002</v>
      </c>
      <c r="O391" s="374" t="s">
        <v>6640</v>
      </c>
      <c r="P391" s="374">
        <v>2730</v>
      </c>
      <c r="Q391" s="18">
        <v>2631.5477879999999</v>
      </c>
      <c r="R391" s="18">
        <f t="shared" si="34"/>
        <v>7184125.4612399992</v>
      </c>
      <c r="S391" s="374" t="s">
        <v>4976</v>
      </c>
      <c r="AA391" t="s">
        <v>25</v>
      </c>
      <c r="AJ391" s="20">
        <v>93</v>
      </c>
      <c r="AK391" s="20" t="s">
        <v>4863</v>
      </c>
      <c r="AL391" s="37">
        <v>300000</v>
      </c>
      <c r="AM391" s="20">
        <v>0</v>
      </c>
      <c r="AN391" s="20">
        <f t="shared" si="49"/>
        <v>589</v>
      </c>
      <c r="AO391" s="20">
        <f t="shared" si="50"/>
        <v>176700000</v>
      </c>
      <c r="AP391" s="20"/>
    </row>
    <row r="392" spans="13:47">
      <c r="M392" s="361" t="s">
        <v>6493</v>
      </c>
      <c r="N392" s="1">
        <v>13945790.265610002</v>
      </c>
      <c r="O392" s="374" t="s">
        <v>6642</v>
      </c>
      <c r="P392" s="374">
        <v>3150</v>
      </c>
      <c r="Q392" s="18">
        <v>2622.3760240000001</v>
      </c>
      <c r="R392" s="18">
        <f t="shared" si="34"/>
        <v>8260484.4756000005</v>
      </c>
      <c r="S392" s="374" t="s">
        <v>4976</v>
      </c>
      <c r="AJ392" s="20">
        <v>94</v>
      </c>
      <c r="AK392" s="20" t="s">
        <v>4863</v>
      </c>
      <c r="AL392" s="37">
        <v>8660000</v>
      </c>
      <c r="AM392" s="20">
        <v>8</v>
      </c>
      <c r="AN392" s="20">
        <f t="shared" si="49"/>
        <v>589</v>
      </c>
      <c r="AO392" s="20">
        <f t="shared" si="50"/>
        <v>5100740000</v>
      </c>
      <c r="AP392" s="20"/>
    </row>
    <row r="393" spans="13:47">
      <c r="M393" s="361" t="s">
        <v>6495</v>
      </c>
      <c r="N393" s="1">
        <v>457914.84466800001</v>
      </c>
      <c r="O393" s="374" t="s">
        <v>6643</v>
      </c>
      <c r="P393" s="374">
        <v>1044</v>
      </c>
      <c r="Q393" s="18">
        <v>2673.5657609999998</v>
      </c>
      <c r="R393" s="18">
        <f t="shared" si="34"/>
        <v>2791202.6544840001</v>
      </c>
      <c r="S393" s="374" t="s">
        <v>4976</v>
      </c>
      <c r="AA393" t="s">
        <v>25</v>
      </c>
      <c r="AJ393" s="97">
        <v>95</v>
      </c>
      <c r="AK393" s="97" t="s">
        <v>4912</v>
      </c>
      <c r="AL393" s="131">
        <v>200000</v>
      </c>
      <c r="AM393" s="97">
        <v>3</v>
      </c>
      <c r="AN393" s="97">
        <f t="shared" si="49"/>
        <v>581</v>
      </c>
      <c r="AO393" s="97">
        <f t="shared" si="50"/>
        <v>116200000</v>
      </c>
      <c r="AP393" s="97"/>
      <c r="AT393" t="s">
        <v>25</v>
      </c>
    </row>
    <row r="394" spans="13:47">
      <c r="M394" s="361" t="s">
        <v>6496</v>
      </c>
      <c r="N394" s="1">
        <v>974570.33942399989</v>
      </c>
      <c r="O394" s="374" t="s">
        <v>6644</v>
      </c>
      <c r="P394" s="374">
        <v>90</v>
      </c>
      <c r="Q394" s="18">
        <v>2757.13409</v>
      </c>
      <c r="R394" s="18">
        <f t="shared" si="34"/>
        <v>248142.0681</v>
      </c>
      <c r="S394" s="374" t="s">
        <v>4976</v>
      </c>
      <c r="AJ394" s="97">
        <v>96</v>
      </c>
      <c r="AK394" s="97" t="s">
        <v>4915</v>
      </c>
      <c r="AL394" s="131">
        <v>20000</v>
      </c>
      <c r="AM394" s="97">
        <v>1</v>
      </c>
      <c r="AN394" s="97">
        <f t="shared" si="49"/>
        <v>578</v>
      </c>
      <c r="AO394" s="97">
        <f t="shared" si="50"/>
        <v>11560000</v>
      </c>
      <c r="AP394" s="97"/>
    </row>
    <row r="395" spans="13:47">
      <c r="M395" s="361" t="s">
        <v>6497</v>
      </c>
      <c r="N395" s="1">
        <v>746198.52596400003</v>
      </c>
      <c r="O395" s="189" t="s">
        <v>6659</v>
      </c>
      <c r="P395" s="189">
        <v>-20619</v>
      </c>
      <c r="Q395" s="190">
        <v>2901.357</v>
      </c>
      <c r="R395" s="190">
        <f t="shared" si="34"/>
        <v>-59823079.983000003</v>
      </c>
      <c r="S395" s="189" t="s">
        <v>5623</v>
      </c>
      <c r="AA395" t="s">
        <v>25</v>
      </c>
      <c r="AJ395" s="20">
        <v>97</v>
      </c>
      <c r="AK395" s="20" t="s">
        <v>4925</v>
      </c>
      <c r="AL395" s="37">
        <v>14340000</v>
      </c>
      <c r="AM395" s="20">
        <v>7</v>
      </c>
      <c r="AN395" s="20">
        <f t="shared" si="49"/>
        <v>577</v>
      </c>
      <c r="AO395" s="20">
        <f t="shared" si="50"/>
        <v>8274180000</v>
      </c>
      <c r="AP395" s="20"/>
    </row>
    <row r="396" spans="13:47">
      <c r="M396" s="361" t="s">
        <v>6499</v>
      </c>
      <c r="N396" s="1">
        <v>416108</v>
      </c>
      <c r="O396" s="189" t="s">
        <v>6659</v>
      </c>
      <c r="P396" s="189">
        <v>-6894</v>
      </c>
      <c r="Q396" s="190">
        <v>2901.357</v>
      </c>
      <c r="R396" s="190">
        <f t="shared" si="34"/>
        <v>-20001955.158</v>
      </c>
      <c r="S396" s="189" t="s">
        <v>6660</v>
      </c>
      <c r="AA396" t="s">
        <v>25</v>
      </c>
      <c r="AJ396" s="20">
        <v>98</v>
      </c>
      <c r="AK396" s="20" t="s">
        <v>4931</v>
      </c>
      <c r="AL396" s="37">
        <v>10000000</v>
      </c>
      <c r="AM396" s="20">
        <v>6</v>
      </c>
      <c r="AN396" s="20">
        <f t="shared" si="49"/>
        <v>570</v>
      </c>
      <c r="AO396" s="20">
        <f t="shared" si="50"/>
        <v>5700000000</v>
      </c>
      <c r="AP396" s="20" t="s">
        <v>4559</v>
      </c>
    </row>
    <row r="397" spans="13:47">
      <c r="M397" s="361" t="s">
        <v>6510</v>
      </c>
      <c r="N397" s="1">
        <v>361620.57555000001</v>
      </c>
      <c r="O397" s="374" t="s">
        <v>6659</v>
      </c>
      <c r="P397" s="374">
        <v>6894</v>
      </c>
      <c r="Q397" s="18">
        <v>2901.357</v>
      </c>
      <c r="R397" s="18">
        <f t="shared" si="34"/>
        <v>20001955.158</v>
      </c>
      <c r="S397" s="374" t="s">
        <v>6662</v>
      </c>
      <c r="AB397" t="s">
        <v>25</v>
      </c>
      <c r="AJ397" s="20">
        <v>99</v>
      </c>
      <c r="AK397" s="20" t="s">
        <v>4936</v>
      </c>
      <c r="AL397" s="37">
        <v>4033949</v>
      </c>
      <c r="AM397" s="20">
        <v>2</v>
      </c>
      <c r="AN397" s="20">
        <f t="shared" si="49"/>
        <v>564</v>
      </c>
      <c r="AO397" s="20">
        <f t="shared" si="50"/>
        <v>2275147236</v>
      </c>
      <c r="AP397" s="20" t="s">
        <v>4938</v>
      </c>
    </row>
    <row r="398" spans="13:47" ht="21" customHeight="1">
      <c r="M398" s="361" t="s">
        <v>6511</v>
      </c>
      <c r="N398" s="1">
        <v>761310.51884999999</v>
      </c>
      <c r="O398" s="374" t="s">
        <v>6659</v>
      </c>
      <c r="P398" s="374">
        <v>-193841</v>
      </c>
      <c r="Q398" s="18">
        <v>2901.357</v>
      </c>
      <c r="R398" s="18">
        <f t="shared" si="34"/>
        <v>-562401942.23699999</v>
      </c>
      <c r="S398" s="374" t="s">
        <v>5281</v>
      </c>
      <c r="AC398" t="s">
        <v>25</v>
      </c>
      <c r="AJ398" s="97">
        <v>100</v>
      </c>
      <c r="AK398" s="97" t="s">
        <v>4942</v>
      </c>
      <c r="AL398" s="131">
        <v>11500000</v>
      </c>
      <c r="AM398" s="97">
        <v>2</v>
      </c>
      <c r="AN398" s="97">
        <f t="shared" si="49"/>
        <v>562</v>
      </c>
      <c r="AO398" s="97">
        <f t="shared" si="50"/>
        <v>6463000000</v>
      </c>
      <c r="AP398" s="97" t="s">
        <v>4944</v>
      </c>
    </row>
    <row r="399" spans="13:47">
      <c r="M399" s="361" t="s">
        <v>6512</v>
      </c>
      <c r="N399" s="1">
        <v>3047100.3041699999</v>
      </c>
      <c r="O399" s="374" t="s">
        <v>6659</v>
      </c>
      <c r="P399" s="374">
        <v>-155192</v>
      </c>
      <c r="Q399" s="18">
        <v>2901.357</v>
      </c>
      <c r="R399" s="18">
        <f t="shared" si="34"/>
        <v>-450267395.54399997</v>
      </c>
      <c r="S399" s="374" t="s">
        <v>5624</v>
      </c>
      <c r="AA399" t="s">
        <v>25</v>
      </c>
      <c r="AJ399" s="97">
        <v>101</v>
      </c>
      <c r="AK399" s="97" t="s">
        <v>4946</v>
      </c>
      <c r="AL399" s="131">
        <v>250000</v>
      </c>
      <c r="AM399" s="97">
        <v>3</v>
      </c>
      <c r="AN399" s="97">
        <f t="shared" si="49"/>
        <v>560</v>
      </c>
      <c r="AO399" s="97">
        <f t="shared" si="50"/>
        <v>140000000</v>
      </c>
      <c r="AP399" s="97"/>
    </row>
    <row r="400" spans="13:47" ht="18" customHeight="1">
      <c r="M400" s="361" t="s">
        <v>6514</v>
      </c>
      <c r="N400" s="1">
        <v>2437078.451072</v>
      </c>
      <c r="O400" s="374" t="s">
        <v>6659</v>
      </c>
      <c r="P400" s="374">
        <v>172</v>
      </c>
      <c r="Q400" s="18">
        <v>2901.357</v>
      </c>
      <c r="R400" s="18">
        <f t="shared" si="34"/>
        <v>499033.40399999998</v>
      </c>
      <c r="S400" s="374" t="s">
        <v>5612</v>
      </c>
      <c r="AC400" t="s">
        <v>25</v>
      </c>
      <c r="AJ400" s="97">
        <v>102</v>
      </c>
      <c r="AK400" s="97" t="s">
        <v>4971</v>
      </c>
      <c r="AL400" s="131">
        <v>6000000</v>
      </c>
      <c r="AM400" s="97">
        <v>1</v>
      </c>
      <c r="AN400" s="97">
        <f t="shared" si="49"/>
        <v>557</v>
      </c>
      <c r="AO400" s="97">
        <f t="shared" si="50"/>
        <v>3342000000</v>
      </c>
      <c r="AP400" s="97" t="s">
        <v>4944</v>
      </c>
    </row>
    <row r="401" spans="13:47" ht="21" customHeight="1">
      <c r="M401" s="361" t="s">
        <v>6588</v>
      </c>
      <c r="N401" s="1">
        <v>7747639.4065840002</v>
      </c>
      <c r="O401" s="374" t="s">
        <v>6659</v>
      </c>
      <c r="P401" s="374">
        <v>1163</v>
      </c>
      <c r="Q401" s="18">
        <v>2901.357</v>
      </c>
      <c r="R401" s="18">
        <f t="shared" si="34"/>
        <v>3374278.1910000001</v>
      </c>
      <c r="S401" s="374" t="s">
        <v>4976</v>
      </c>
      <c r="AC401" t="s">
        <v>25</v>
      </c>
      <c r="AF401" t="s">
        <v>25</v>
      </c>
      <c r="AJ401" s="97">
        <v>103</v>
      </c>
      <c r="AK401" s="97" t="s">
        <v>4972</v>
      </c>
      <c r="AL401" s="131">
        <v>1500000</v>
      </c>
      <c r="AM401" s="97">
        <v>6</v>
      </c>
      <c r="AN401" s="97">
        <f t="shared" si="49"/>
        <v>556</v>
      </c>
      <c r="AO401" s="97">
        <f t="shared" si="50"/>
        <v>834000000</v>
      </c>
      <c r="AP401" s="97" t="s">
        <v>4944</v>
      </c>
    </row>
    <row r="402" spans="13:47">
      <c r="M402" s="361" t="s">
        <v>6589</v>
      </c>
      <c r="N402" s="1">
        <v>5584918.3522559991</v>
      </c>
      <c r="O402" s="374" t="s">
        <v>6667</v>
      </c>
      <c r="P402" s="374">
        <v>17233</v>
      </c>
      <c r="Q402" s="18">
        <v>2901.357</v>
      </c>
      <c r="R402" s="18">
        <f t="shared" si="34"/>
        <v>49999085.181000002</v>
      </c>
      <c r="S402" s="374" t="s">
        <v>6668</v>
      </c>
      <c r="AB402" t="s">
        <v>25</v>
      </c>
      <c r="AJ402" s="20">
        <v>104</v>
      </c>
      <c r="AK402" s="20" t="s">
        <v>895</v>
      </c>
      <c r="AL402" s="37">
        <v>-3960043</v>
      </c>
      <c r="AM402" s="20">
        <v>2</v>
      </c>
      <c r="AN402" s="20">
        <f t="shared" si="49"/>
        <v>550</v>
      </c>
      <c r="AO402" s="20">
        <f t="shared" si="50"/>
        <v>-2178023650</v>
      </c>
      <c r="AP402" s="20"/>
      <c r="AU402" t="s">
        <v>25</v>
      </c>
    </row>
    <row r="403" spans="13:47">
      <c r="M403" s="361" t="s">
        <v>6590</v>
      </c>
      <c r="N403" s="1">
        <v>573666.77206800005</v>
      </c>
      <c r="O403" s="374" t="s">
        <v>6667</v>
      </c>
      <c r="P403" s="374">
        <v>10340</v>
      </c>
      <c r="Q403" s="18">
        <v>2901.357</v>
      </c>
      <c r="R403" s="18">
        <f t="shared" si="34"/>
        <v>30000031.379999999</v>
      </c>
      <c r="S403" s="374" t="s">
        <v>5612</v>
      </c>
      <c r="AJ403" s="20">
        <v>105</v>
      </c>
      <c r="AK403" s="20" t="s">
        <v>4990</v>
      </c>
      <c r="AL403" s="37">
        <v>230000</v>
      </c>
      <c r="AM403" s="20">
        <v>0</v>
      </c>
      <c r="AN403" s="20">
        <f t="shared" si="49"/>
        <v>548</v>
      </c>
      <c r="AO403" s="20">
        <f t="shared" si="50"/>
        <v>126040000</v>
      </c>
      <c r="AP403" s="20"/>
    </row>
    <row r="404" spans="13:47">
      <c r="M404" s="361" t="s">
        <v>6593</v>
      </c>
      <c r="N404" s="1">
        <v>1870018.6536539998</v>
      </c>
      <c r="O404" s="374" t="s">
        <v>6673</v>
      </c>
      <c r="P404" s="374">
        <v>17234</v>
      </c>
      <c r="Q404" s="18">
        <v>2901.357</v>
      </c>
      <c r="R404" s="18">
        <f t="shared" si="34"/>
        <v>50001986.538000003</v>
      </c>
      <c r="S404" s="374" t="s">
        <v>6668</v>
      </c>
      <c r="AJ404" s="97">
        <v>106</v>
      </c>
      <c r="AK404" s="97" t="s">
        <v>4990</v>
      </c>
      <c r="AL404" s="131">
        <v>230000</v>
      </c>
      <c r="AM404" s="97">
        <v>1</v>
      </c>
      <c r="AN404" s="97">
        <f t="shared" si="49"/>
        <v>548</v>
      </c>
      <c r="AO404" s="97">
        <f t="shared" si="50"/>
        <v>126040000</v>
      </c>
      <c r="AP404" s="97"/>
    </row>
    <row r="405" spans="13:47">
      <c r="M405" s="361" t="s">
        <v>6597</v>
      </c>
      <c r="N405" s="1">
        <v>117222.435308</v>
      </c>
      <c r="O405" s="374" t="s">
        <v>6674</v>
      </c>
      <c r="P405" s="374">
        <v>17234</v>
      </c>
      <c r="Q405" s="18">
        <v>2901.357</v>
      </c>
      <c r="R405" s="18">
        <f t="shared" si="34"/>
        <v>50001986.538000003</v>
      </c>
      <c r="S405" s="374" t="s">
        <v>6668</v>
      </c>
      <c r="AJ405" s="97">
        <v>107</v>
      </c>
      <c r="AK405" s="97" t="s">
        <v>4991</v>
      </c>
      <c r="AL405" s="131">
        <v>500000</v>
      </c>
      <c r="AM405" s="97">
        <v>1</v>
      </c>
      <c r="AN405" s="97">
        <f t="shared" si="49"/>
        <v>547</v>
      </c>
      <c r="AO405" s="97">
        <f t="shared" si="50"/>
        <v>273500000</v>
      </c>
      <c r="AP405" s="97"/>
    </row>
    <row r="406" spans="13:47">
      <c r="M406" s="361" t="s">
        <v>6598</v>
      </c>
      <c r="N406" s="1">
        <v>1940857.6749900002</v>
      </c>
      <c r="O406" s="374" t="s">
        <v>6674</v>
      </c>
      <c r="P406" s="374">
        <v>17234</v>
      </c>
      <c r="Q406" s="18">
        <v>2901.357</v>
      </c>
      <c r="R406" s="18">
        <f t="shared" si="34"/>
        <v>50001986.538000003</v>
      </c>
      <c r="S406" s="374" t="s">
        <v>6679</v>
      </c>
      <c r="AJ406" s="20">
        <v>108</v>
      </c>
      <c r="AK406" s="20" t="s">
        <v>4994</v>
      </c>
      <c r="AL406" s="37">
        <v>-880000</v>
      </c>
      <c r="AM406" s="20">
        <v>4</v>
      </c>
      <c r="AN406" s="20">
        <f t="shared" si="49"/>
        <v>546</v>
      </c>
      <c r="AO406" s="20">
        <f t="shared" si="50"/>
        <v>-480480000</v>
      </c>
      <c r="AP406" s="20"/>
    </row>
    <row r="407" spans="13:47">
      <c r="M407" s="361" t="s">
        <v>6611</v>
      </c>
      <c r="N407" s="1">
        <v>200000000</v>
      </c>
      <c r="O407" s="374" t="s">
        <v>6675</v>
      </c>
      <c r="P407" s="374">
        <v>17233</v>
      </c>
      <c r="Q407" s="18">
        <v>2901.357</v>
      </c>
      <c r="R407" s="18">
        <f t="shared" si="34"/>
        <v>49999085.181000002</v>
      </c>
      <c r="S407" s="374" t="s">
        <v>6668</v>
      </c>
      <c r="AJ407" s="135">
        <v>109</v>
      </c>
      <c r="AK407" s="135" t="s">
        <v>4998</v>
      </c>
      <c r="AL407" s="136">
        <v>873000</v>
      </c>
      <c r="AM407" s="135">
        <v>0</v>
      </c>
      <c r="AN407" s="135">
        <f t="shared" si="49"/>
        <v>542</v>
      </c>
      <c r="AO407" s="135">
        <f t="shared" si="50"/>
        <v>473166000</v>
      </c>
      <c r="AP407" s="135" t="s">
        <v>4944</v>
      </c>
    </row>
    <row r="408" spans="13:47">
      <c r="M408" s="361" t="s">
        <v>6617</v>
      </c>
      <c r="N408" s="1">
        <v>195324.59944799999</v>
      </c>
      <c r="O408" s="374" t="s">
        <v>6676</v>
      </c>
      <c r="P408" s="374">
        <v>34467</v>
      </c>
      <c r="Q408" s="18">
        <v>2901.357</v>
      </c>
      <c r="R408" s="18">
        <f t="shared" si="34"/>
        <v>100001071.719</v>
      </c>
      <c r="S408" s="374" t="s">
        <v>6668</v>
      </c>
      <c r="AJ408" s="20">
        <v>110</v>
      </c>
      <c r="AK408" s="20" t="s">
        <v>4998</v>
      </c>
      <c r="AL408" s="37">
        <v>127000</v>
      </c>
      <c r="AM408" s="20">
        <v>0</v>
      </c>
      <c r="AN408" s="20">
        <f t="shared" si="49"/>
        <v>542</v>
      </c>
      <c r="AO408" s="20">
        <f t="shared" si="50"/>
        <v>68834000</v>
      </c>
      <c r="AP408" s="20" t="s">
        <v>4944</v>
      </c>
    </row>
    <row r="409" spans="13:47">
      <c r="M409" s="361" t="s">
        <v>6617</v>
      </c>
      <c r="N409" s="1">
        <v>20318581.172208</v>
      </c>
      <c r="O409" s="374" t="s">
        <v>6678</v>
      </c>
      <c r="P409" s="374">
        <v>17233</v>
      </c>
      <c r="Q409" s="18">
        <v>2901.357</v>
      </c>
      <c r="R409" s="18">
        <f t="shared" si="34"/>
        <v>49999085.181000002</v>
      </c>
      <c r="S409" s="374" t="s">
        <v>6668</v>
      </c>
      <c r="AJ409" s="20">
        <v>111</v>
      </c>
      <c r="AK409" s="20" t="s">
        <v>4998</v>
      </c>
      <c r="AL409" s="37">
        <v>73000</v>
      </c>
      <c r="AM409" s="20">
        <v>1</v>
      </c>
      <c r="AN409" s="20">
        <f t="shared" si="49"/>
        <v>542</v>
      </c>
      <c r="AO409" s="20">
        <f t="shared" si="50"/>
        <v>39566000</v>
      </c>
      <c r="AP409" s="20"/>
    </row>
    <row r="410" spans="13:47">
      <c r="M410" s="361" t="s">
        <v>6619</v>
      </c>
      <c r="N410" s="1">
        <v>2893976.613864</v>
      </c>
      <c r="O410" s="374" t="s">
        <v>6680</v>
      </c>
      <c r="P410" s="374">
        <v>928</v>
      </c>
      <c r="Q410" s="18">
        <v>2820</v>
      </c>
      <c r="R410" s="18">
        <f t="shared" si="34"/>
        <v>2616960</v>
      </c>
      <c r="S410" s="374" t="s">
        <v>4976</v>
      </c>
      <c r="AJ410" s="20">
        <v>112</v>
      </c>
      <c r="AK410" s="20" t="s">
        <v>912</v>
      </c>
      <c r="AL410" s="37">
        <v>4300000</v>
      </c>
      <c r="AM410" s="20">
        <v>1</v>
      </c>
      <c r="AN410" s="20">
        <f t="shared" si="49"/>
        <v>541</v>
      </c>
      <c r="AO410" s="20">
        <f t="shared" si="50"/>
        <v>2326300000</v>
      </c>
      <c r="AP410" s="20"/>
    </row>
    <row r="411" spans="13:47">
      <c r="M411" s="361" t="s">
        <v>6620</v>
      </c>
      <c r="N411" s="1">
        <v>348175.86130300001</v>
      </c>
      <c r="O411" s="374" t="s">
        <v>6680</v>
      </c>
      <c r="P411" s="374">
        <v>-3980</v>
      </c>
      <c r="Q411" s="18">
        <v>2838.81</v>
      </c>
      <c r="R411" s="18">
        <f t="shared" si="34"/>
        <v>-11298463.799999999</v>
      </c>
      <c r="S411" s="374" t="s">
        <v>6681</v>
      </c>
      <c r="AB411" t="s">
        <v>25</v>
      </c>
      <c r="AJ411" s="20">
        <v>113</v>
      </c>
      <c r="AK411" s="20" t="s">
        <v>4874</v>
      </c>
      <c r="AL411" s="37">
        <v>1600000</v>
      </c>
      <c r="AM411" s="20">
        <v>0</v>
      </c>
      <c r="AN411" s="20">
        <f t="shared" si="49"/>
        <v>540</v>
      </c>
      <c r="AO411" s="20">
        <f t="shared" si="50"/>
        <v>864000000</v>
      </c>
      <c r="AP411" s="20"/>
    </row>
    <row r="412" spans="13:47">
      <c r="M412" s="361" t="s">
        <v>6622</v>
      </c>
      <c r="N412" s="1">
        <v>315280.48550000001</v>
      </c>
      <c r="O412" s="374" t="s">
        <v>6680</v>
      </c>
      <c r="P412" s="374">
        <v>3980</v>
      </c>
      <c r="Q412" s="18">
        <v>2838.81</v>
      </c>
      <c r="R412" s="18">
        <f t="shared" si="34"/>
        <v>11298463.799999999</v>
      </c>
      <c r="S412" s="374" t="s">
        <v>6682</v>
      </c>
      <c r="AB412" t="s">
        <v>25</v>
      </c>
      <c r="AJ412" s="20">
        <v>114</v>
      </c>
      <c r="AK412" s="20" t="s">
        <v>4171</v>
      </c>
      <c r="AL412" s="37">
        <v>-10000000</v>
      </c>
      <c r="AM412" s="20">
        <v>1</v>
      </c>
      <c r="AN412" s="20">
        <f t="shared" si="49"/>
        <v>540</v>
      </c>
      <c r="AO412" s="20">
        <f t="shared" si="50"/>
        <v>-5400000000</v>
      </c>
      <c r="AP412" s="20" t="s">
        <v>5004</v>
      </c>
    </row>
    <row r="413" spans="13:47">
      <c r="M413" s="361" t="s">
        <v>6622</v>
      </c>
      <c r="N413" s="1">
        <v>6128000</v>
      </c>
      <c r="O413" s="374" t="s">
        <v>6680</v>
      </c>
      <c r="P413" s="374">
        <v>23077</v>
      </c>
      <c r="Q413" s="18">
        <v>2838.81</v>
      </c>
      <c r="R413" s="18">
        <f t="shared" ref="R413:R433" si="51">P413*Q413</f>
        <v>65511218.369999997</v>
      </c>
      <c r="S413" s="374" t="s">
        <v>6683</v>
      </c>
      <c r="AJ413" s="20">
        <v>115</v>
      </c>
      <c r="AK413" s="20" t="s">
        <v>5003</v>
      </c>
      <c r="AL413" s="37">
        <v>571000</v>
      </c>
      <c r="AM413" s="20">
        <v>4</v>
      </c>
      <c r="AN413" s="20">
        <f t="shared" si="49"/>
        <v>539</v>
      </c>
      <c r="AO413" s="20">
        <f t="shared" si="50"/>
        <v>307769000</v>
      </c>
      <c r="AP413" s="20"/>
      <c r="AT413" t="s">
        <v>25</v>
      </c>
    </row>
    <row r="414" spans="13:47">
      <c r="M414" s="361" t="s">
        <v>6626</v>
      </c>
      <c r="N414" s="1">
        <v>184045.65498799999</v>
      </c>
      <c r="O414" s="374" t="s">
        <v>6684</v>
      </c>
      <c r="P414" s="374">
        <v>8806</v>
      </c>
      <c r="Q414" s="18">
        <v>2838.81</v>
      </c>
      <c r="R414" s="18">
        <f t="shared" si="51"/>
        <v>24998560.859999999</v>
      </c>
      <c r="S414" s="374" t="s">
        <v>6683</v>
      </c>
      <c r="AJ414" s="20">
        <v>116</v>
      </c>
      <c r="AK414" s="20" t="s">
        <v>5005</v>
      </c>
      <c r="AL414" s="37">
        <v>200000</v>
      </c>
      <c r="AM414" s="20">
        <v>3</v>
      </c>
      <c r="AN414" s="20">
        <f t="shared" ref="AN414:AN425" si="52">AM414+AN415</f>
        <v>535</v>
      </c>
      <c r="AO414" s="20">
        <f t="shared" ref="AO414:AO425" si="53">AL414*AN414</f>
        <v>107000000</v>
      </c>
      <c r="AP414" s="20"/>
    </row>
    <row r="415" spans="13:47">
      <c r="M415" s="361" t="s">
        <v>6638</v>
      </c>
      <c r="N415" s="1">
        <v>3224064.2855249997</v>
      </c>
      <c r="O415" s="374" t="s">
        <v>6686</v>
      </c>
      <c r="P415" s="374">
        <v>88</v>
      </c>
      <c r="Q415" s="18">
        <v>2881.3336610000001</v>
      </c>
      <c r="R415" s="18">
        <f t="shared" si="51"/>
        <v>253557.36216800002</v>
      </c>
      <c r="S415" s="374" t="s">
        <v>4976</v>
      </c>
      <c r="AJ415" s="97">
        <v>117</v>
      </c>
      <c r="AK415" s="97" t="s">
        <v>5011</v>
      </c>
      <c r="AL415" s="131">
        <v>50000</v>
      </c>
      <c r="AM415" s="97">
        <v>7</v>
      </c>
      <c r="AN415" s="97">
        <f t="shared" si="52"/>
        <v>532</v>
      </c>
      <c r="AO415" s="97">
        <f t="shared" si="53"/>
        <v>26600000</v>
      </c>
      <c r="AP415" s="97"/>
      <c r="AU415" t="s">
        <v>25</v>
      </c>
    </row>
    <row r="416" spans="13:47">
      <c r="M416" s="361" t="s">
        <v>6639</v>
      </c>
      <c r="N416" s="1">
        <v>145302.32212200001</v>
      </c>
      <c r="O416" s="374" t="s">
        <v>6686</v>
      </c>
      <c r="P416" s="374">
        <v>4729</v>
      </c>
      <c r="Q416" s="18">
        <v>2881.3336610000001</v>
      </c>
      <c r="R416" s="18">
        <f t="shared" si="51"/>
        <v>13625826.882869001</v>
      </c>
      <c r="S416" s="374" t="s">
        <v>6687</v>
      </c>
      <c r="AJ416" s="20">
        <v>118</v>
      </c>
      <c r="AK416" s="20" t="s">
        <v>5019</v>
      </c>
      <c r="AL416" s="37">
        <v>-500000</v>
      </c>
      <c r="AM416" s="20">
        <v>12</v>
      </c>
      <c r="AN416" s="20">
        <f t="shared" si="52"/>
        <v>525</v>
      </c>
      <c r="AO416" s="20">
        <f t="shared" si="53"/>
        <v>-262500000</v>
      </c>
      <c r="AP416" s="20"/>
    </row>
    <row r="417" spans="13:47">
      <c r="M417" s="361" t="s">
        <v>6640</v>
      </c>
      <c r="N417" s="1">
        <v>7184125.4612399992</v>
      </c>
      <c r="O417" s="374" t="s">
        <v>6688</v>
      </c>
      <c r="P417" s="374">
        <v>322</v>
      </c>
      <c r="Q417" s="18">
        <v>2898.1177969999999</v>
      </c>
      <c r="R417" s="18">
        <f t="shared" si="51"/>
        <v>933193.93063399999</v>
      </c>
      <c r="S417" s="374" t="s">
        <v>4976</v>
      </c>
      <c r="AB417" t="s">
        <v>25</v>
      </c>
      <c r="AJ417" s="97">
        <v>119</v>
      </c>
      <c r="AK417" s="97" t="s">
        <v>911</v>
      </c>
      <c r="AL417" s="131">
        <v>-50000</v>
      </c>
      <c r="AM417" s="97">
        <v>0</v>
      </c>
      <c r="AN417" s="97">
        <f t="shared" si="52"/>
        <v>513</v>
      </c>
      <c r="AO417" s="97">
        <f t="shared" si="53"/>
        <v>-25650000</v>
      </c>
      <c r="AP417" s="97"/>
      <c r="AT417" t="s">
        <v>25</v>
      </c>
      <c r="AU417" t="s">
        <v>25</v>
      </c>
    </row>
    <row r="418" spans="13:47">
      <c r="M418" s="361" t="s">
        <v>6642</v>
      </c>
      <c r="N418" s="1">
        <v>8260484.4756000005</v>
      </c>
      <c r="O418" s="374" t="s">
        <v>6689</v>
      </c>
      <c r="P418" s="374">
        <v>387</v>
      </c>
      <c r="Q418" s="18">
        <v>3079.346732</v>
      </c>
      <c r="R418" s="18">
        <f t="shared" si="51"/>
        <v>1191707.1852839999</v>
      </c>
      <c r="S418" s="374" t="s">
        <v>4976</v>
      </c>
      <c r="AJ418" s="20">
        <v>120</v>
      </c>
      <c r="AK418" s="20" t="s">
        <v>911</v>
      </c>
      <c r="AL418" s="37">
        <v>-50000</v>
      </c>
      <c r="AM418" s="20">
        <v>28</v>
      </c>
      <c r="AN418" s="20">
        <f t="shared" si="52"/>
        <v>513</v>
      </c>
      <c r="AO418" s="20">
        <f t="shared" si="53"/>
        <v>-25650000</v>
      </c>
      <c r="AP418" s="20"/>
    </row>
    <row r="419" spans="13:47">
      <c r="M419" s="361" t="s">
        <v>6643</v>
      </c>
      <c r="N419" s="1">
        <v>2791202.6544840001</v>
      </c>
      <c r="O419" s="374" t="s">
        <v>6690</v>
      </c>
      <c r="P419" s="374">
        <v>807</v>
      </c>
      <c r="Q419" s="18">
        <v>3145.9883460000001</v>
      </c>
      <c r="R419" s="18">
        <f t="shared" si="51"/>
        <v>2538812.595222</v>
      </c>
      <c r="S419" s="374" t="s">
        <v>4976</v>
      </c>
      <c r="AB419" t="s">
        <v>25</v>
      </c>
      <c r="AJ419" s="20">
        <v>121</v>
      </c>
      <c r="AK419" s="20" t="s">
        <v>5060</v>
      </c>
      <c r="AL419" s="37">
        <v>-3020625</v>
      </c>
      <c r="AM419" s="20">
        <v>18</v>
      </c>
      <c r="AN419" s="20">
        <f t="shared" si="52"/>
        <v>485</v>
      </c>
      <c r="AO419" s="20">
        <f t="shared" si="53"/>
        <v>-1465003125</v>
      </c>
      <c r="AP419" s="20"/>
    </row>
    <row r="420" spans="13:47">
      <c r="M420" s="361" t="s">
        <v>6644</v>
      </c>
      <c r="N420" s="1">
        <v>248142.0681</v>
      </c>
      <c r="O420" s="189" t="s">
        <v>6692</v>
      </c>
      <c r="P420" s="189">
        <v>-5039</v>
      </c>
      <c r="Q420" s="190">
        <v>3008.7638149999998</v>
      </c>
      <c r="R420" s="190">
        <f t="shared" si="51"/>
        <v>-15161160.863784999</v>
      </c>
      <c r="S420" s="189" t="s">
        <v>6693</v>
      </c>
      <c r="AA420" t="s">
        <v>25</v>
      </c>
      <c r="AJ420" s="20">
        <v>122</v>
      </c>
      <c r="AK420" s="20" t="s">
        <v>5071</v>
      </c>
      <c r="AL420" s="37">
        <v>18000000</v>
      </c>
      <c r="AM420" s="20">
        <v>19</v>
      </c>
      <c r="AN420" s="20">
        <f t="shared" si="52"/>
        <v>467</v>
      </c>
      <c r="AO420" s="20">
        <f t="shared" si="53"/>
        <v>8406000000</v>
      </c>
      <c r="AP420" s="20"/>
      <c r="AT420" t="s">
        <v>25</v>
      </c>
    </row>
    <row r="421" spans="13:47">
      <c r="M421" s="361" t="s">
        <v>6659</v>
      </c>
      <c r="N421" s="1">
        <v>20001955</v>
      </c>
      <c r="O421" s="374" t="s">
        <v>6692</v>
      </c>
      <c r="P421" s="374">
        <v>666</v>
      </c>
      <c r="Q421" s="18">
        <v>3028.3040940000001</v>
      </c>
      <c r="R421" s="18">
        <f t="shared" si="51"/>
        <v>2016850.526604</v>
      </c>
      <c r="S421" s="374" t="s">
        <v>4976</v>
      </c>
      <c r="AB421" t="s">
        <v>25</v>
      </c>
      <c r="AJ421" s="20">
        <v>123</v>
      </c>
      <c r="AK421" s="20" t="s">
        <v>5098</v>
      </c>
      <c r="AL421" s="37">
        <v>2000000</v>
      </c>
      <c r="AM421" s="20">
        <v>6</v>
      </c>
      <c r="AN421" s="20">
        <f t="shared" si="52"/>
        <v>448</v>
      </c>
      <c r="AO421" s="20">
        <f t="shared" si="53"/>
        <v>896000000</v>
      </c>
      <c r="AP421" s="20"/>
    </row>
    <row r="422" spans="13:47">
      <c r="M422" s="361" t="s">
        <v>6659</v>
      </c>
      <c r="N422" s="1">
        <v>-562401942</v>
      </c>
      <c r="O422" s="374" t="s">
        <v>6695</v>
      </c>
      <c r="P422" s="374">
        <v>44</v>
      </c>
      <c r="Q422" s="18">
        <v>2971.6949030000001</v>
      </c>
      <c r="R422" s="18">
        <f t="shared" si="51"/>
        <v>130754.575732</v>
      </c>
      <c r="S422" s="374" t="s">
        <v>4976</v>
      </c>
      <c r="AJ422" s="97">
        <v>124</v>
      </c>
      <c r="AK422" s="97" t="s">
        <v>5107</v>
      </c>
      <c r="AL422" s="131">
        <v>40000000</v>
      </c>
      <c r="AM422" s="97">
        <v>6</v>
      </c>
      <c r="AN422" s="97">
        <f t="shared" si="52"/>
        <v>442</v>
      </c>
      <c r="AO422" s="97">
        <f t="shared" si="53"/>
        <v>17680000000</v>
      </c>
      <c r="AP422" s="97"/>
    </row>
    <row r="423" spans="13:47">
      <c r="M423" s="361" t="s">
        <v>6659</v>
      </c>
      <c r="N423" s="1">
        <v>499033.40399999998</v>
      </c>
      <c r="O423" s="374" t="s">
        <v>6696</v>
      </c>
      <c r="P423" s="374">
        <v>52</v>
      </c>
      <c r="Q423" s="18">
        <v>2956.8541150000001</v>
      </c>
      <c r="R423" s="18">
        <f t="shared" si="51"/>
        <v>153756.41398000001</v>
      </c>
      <c r="S423" s="374" t="s">
        <v>4976</v>
      </c>
      <c r="AB423" t="s">
        <v>25</v>
      </c>
      <c r="AJ423" s="20">
        <v>125</v>
      </c>
      <c r="AK423" s="20" t="s">
        <v>5116</v>
      </c>
      <c r="AL423" s="37">
        <v>200000</v>
      </c>
      <c r="AM423" s="20">
        <v>0</v>
      </c>
      <c r="AN423" s="20">
        <f t="shared" si="52"/>
        <v>436</v>
      </c>
      <c r="AO423" s="20">
        <f t="shared" si="53"/>
        <v>87200000</v>
      </c>
      <c r="AP423" s="20"/>
    </row>
    <row r="424" spans="13:47">
      <c r="M424" s="361" t="s">
        <v>6659</v>
      </c>
      <c r="N424" s="1">
        <v>3374278.1910000001</v>
      </c>
      <c r="O424" s="189" t="s">
        <v>6697</v>
      </c>
      <c r="P424" s="189">
        <v>-3365</v>
      </c>
      <c r="Q424" s="190">
        <v>3036.1223669999999</v>
      </c>
      <c r="R424" s="190">
        <f t="shared" si="51"/>
        <v>-10216551.764954999</v>
      </c>
      <c r="S424" s="189" t="s">
        <v>6693</v>
      </c>
      <c r="AJ424" s="97">
        <v>126</v>
      </c>
      <c r="AK424" s="97" t="s">
        <v>5116</v>
      </c>
      <c r="AL424" s="131">
        <v>200000</v>
      </c>
      <c r="AM424" s="97">
        <v>1</v>
      </c>
      <c r="AN424" s="97">
        <f t="shared" si="52"/>
        <v>436</v>
      </c>
      <c r="AO424" s="97">
        <f t="shared" si="53"/>
        <v>87200000</v>
      </c>
      <c r="AP424" s="97"/>
    </row>
    <row r="425" spans="13:47">
      <c r="M425" s="361" t="s">
        <v>6667</v>
      </c>
      <c r="N425" s="1">
        <v>30000000</v>
      </c>
      <c r="O425" s="189" t="s">
        <v>6701</v>
      </c>
      <c r="P425" s="189">
        <v>-1733</v>
      </c>
      <c r="Q425" s="190">
        <v>2940.3427999999999</v>
      </c>
      <c r="R425" s="190">
        <f t="shared" si="51"/>
        <v>-5095614.0723999999</v>
      </c>
      <c r="S425" s="189" t="s">
        <v>6693</v>
      </c>
      <c r="AJ425" s="20">
        <v>127</v>
      </c>
      <c r="AK425" s="20" t="s">
        <v>5119</v>
      </c>
      <c r="AL425" s="37">
        <v>50000</v>
      </c>
      <c r="AM425" s="20">
        <v>4</v>
      </c>
      <c r="AN425" s="20">
        <f t="shared" si="52"/>
        <v>435</v>
      </c>
      <c r="AO425" s="20">
        <f t="shared" si="53"/>
        <v>21750000</v>
      </c>
      <c r="AP425" s="20"/>
    </row>
    <row r="426" spans="13:47">
      <c r="M426" s="361" t="s">
        <v>6674</v>
      </c>
      <c r="N426" s="1">
        <v>50000000</v>
      </c>
      <c r="O426" s="374" t="s">
        <v>6701</v>
      </c>
      <c r="P426" s="374">
        <v>187</v>
      </c>
      <c r="Q426" s="18">
        <v>2940</v>
      </c>
      <c r="R426" s="18">
        <f t="shared" si="51"/>
        <v>549780</v>
      </c>
      <c r="S426" s="374" t="s">
        <v>4976</v>
      </c>
      <c r="AJ426" s="20">
        <v>128</v>
      </c>
      <c r="AK426" s="20" t="s">
        <v>5121</v>
      </c>
      <c r="AL426" s="37">
        <v>100000</v>
      </c>
      <c r="AM426" s="20">
        <v>9</v>
      </c>
      <c r="AN426" s="20">
        <f t="shared" ref="AN426:AN436" si="54">AM426+AN427</f>
        <v>431</v>
      </c>
      <c r="AO426" s="20">
        <f t="shared" ref="AO426:AO436" si="55">AL426*AN426</f>
        <v>43100000</v>
      </c>
      <c r="AP426" s="20"/>
    </row>
    <row r="427" spans="13:47">
      <c r="M427" s="361" t="s">
        <v>6680</v>
      </c>
      <c r="N427" s="1">
        <v>2616960</v>
      </c>
      <c r="O427" s="374" t="s">
        <v>6702</v>
      </c>
      <c r="P427" s="374">
        <v>509</v>
      </c>
      <c r="Q427" s="18">
        <v>2877.8520050000002</v>
      </c>
      <c r="R427" s="18">
        <f t="shared" si="51"/>
        <v>1464826.6705450001</v>
      </c>
      <c r="S427" s="374" t="s">
        <v>4976</v>
      </c>
      <c r="AB427" t="s">
        <v>25</v>
      </c>
      <c r="AJ427" s="20">
        <v>129</v>
      </c>
      <c r="AK427" s="20" t="s">
        <v>5137</v>
      </c>
      <c r="AL427" s="37">
        <v>-550000</v>
      </c>
      <c r="AM427" s="20">
        <v>5</v>
      </c>
      <c r="AN427" s="20">
        <f t="shared" si="54"/>
        <v>422</v>
      </c>
      <c r="AO427" s="20">
        <f t="shared" si="55"/>
        <v>-232100000</v>
      </c>
      <c r="AP427" s="20"/>
    </row>
    <row r="428" spans="13:47">
      <c r="M428" s="361" t="s">
        <v>6686</v>
      </c>
      <c r="N428" s="1">
        <v>253557.36216800002</v>
      </c>
      <c r="O428" s="374" t="s">
        <v>6705</v>
      </c>
      <c r="P428" s="374">
        <v>104</v>
      </c>
      <c r="Q428" s="18">
        <v>2870.0135799999998</v>
      </c>
      <c r="R428" s="18">
        <f t="shared" si="51"/>
        <v>298481.41232</v>
      </c>
      <c r="S428" s="374" t="s">
        <v>4976</v>
      </c>
      <c r="AJ428" s="20">
        <v>130</v>
      </c>
      <c r="AK428" s="20" t="s">
        <v>5142</v>
      </c>
      <c r="AL428" s="37">
        <v>-29686490</v>
      </c>
      <c r="AM428" s="20">
        <v>1</v>
      </c>
      <c r="AN428" s="20">
        <f t="shared" si="54"/>
        <v>417</v>
      </c>
      <c r="AO428" s="20">
        <f t="shared" si="55"/>
        <v>-12379266330</v>
      </c>
      <c r="AP428" s="20"/>
    </row>
    <row r="429" spans="13:47">
      <c r="M429" s="361" t="s">
        <v>6686</v>
      </c>
      <c r="N429" s="1">
        <v>13625826.882869001</v>
      </c>
      <c r="O429" s="189" t="s">
        <v>6709</v>
      </c>
      <c r="P429" s="189">
        <v>-1812</v>
      </c>
      <c r="Q429" s="190">
        <v>3015.492741</v>
      </c>
      <c r="R429" s="190">
        <f t="shared" si="51"/>
        <v>-5464072.8466919996</v>
      </c>
      <c r="S429" s="189" t="s">
        <v>6710</v>
      </c>
      <c r="AB429" t="s">
        <v>25</v>
      </c>
      <c r="AJ429" s="20">
        <v>131</v>
      </c>
      <c r="AK429" s="20" t="s">
        <v>5150</v>
      </c>
      <c r="AL429" s="37">
        <v>-9000000</v>
      </c>
      <c r="AM429" s="20">
        <v>8</v>
      </c>
      <c r="AN429" s="20">
        <f t="shared" si="54"/>
        <v>416</v>
      </c>
      <c r="AO429" s="20">
        <f t="shared" si="55"/>
        <v>-3744000000</v>
      </c>
      <c r="AP429" s="20"/>
    </row>
    <row r="430" spans="13:47">
      <c r="M430" s="361" t="s">
        <v>6688</v>
      </c>
      <c r="N430" s="1">
        <v>933193.93063399999</v>
      </c>
      <c r="O430" s="374" t="s">
        <v>6709</v>
      </c>
      <c r="P430" s="374">
        <v>-11819</v>
      </c>
      <c r="Q430" s="18">
        <v>3015.492741</v>
      </c>
      <c r="R430" s="18">
        <f t="shared" si="51"/>
        <v>-35640108.705879003</v>
      </c>
      <c r="S430" s="374" t="s">
        <v>6713</v>
      </c>
      <c r="AJ430" s="20">
        <v>132</v>
      </c>
      <c r="AK430" s="20" t="s">
        <v>5193</v>
      </c>
      <c r="AL430" s="37">
        <v>810000</v>
      </c>
      <c r="AM430" s="20">
        <v>2</v>
      </c>
      <c r="AN430" s="20">
        <f t="shared" si="54"/>
        <v>408</v>
      </c>
      <c r="AO430" s="20">
        <f t="shared" si="55"/>
        <v>330480000</v>
      </c>
      <c r="AP430" s="20"/>
    </row>
    <row r="431" spans="13:47">
      <c r="M431" s="361" t="s">
        <v>6689</v>
      </c>
      <c r="N431" s="18">
        <v>1191707.1852839999</v>
      </c>
      <c r="O431" s="374" t="s">
        <v>6709</v>
      </c>
      <c r="P431" s="374">
        <v>-120858</v>
      </c>
      <c r="Q431" s="18">
        <v>3015.492741</v>
      </c>
      <c r="R431" s="18">
        <f t="shared" si="51"/>
        <v>-364446421.691778</v>
      </c>
      <c r="S431" s="374" t="s">
        <v>6712</v>
      </c>
      <c r="AJ431" s="20">
        <v>133</v>
      </c>
      <c r="AK431" s="20" t="s">
        <v>5198</v>
      </c>
      <c r="AL431" s="37">
        <v>-5000000</v>
      </c>
      <c r="AM431" s="20">
        <v>3</v>
      </c>
      <c r="AN431" s="20">
        <f t="shared" si="54"/>
        <v>406</v>
      </c>
      <c r="AO431" s="20">
        <f t="shared" si="55"/>
        <v>-2030000000</v>
      </c>
      <c r="AP431" s="20"/>
    </row>
    <row r="432" spans="13:47">
      <c r="M432" s="361" t="s">
        <v>6690</v>
      </c>
      <c r="N432" s="1">
        <v>2538812.595222</v>
      </c>
      <c r="O432" s="374" t="s">
        <v>6714</v>
      </c>
      <c r="P432" s="374">
        <v>261</v>
      </c>
      <c r="Q432" s="18">
        <v>3015.492741</v>
      </c>
      <c r="R432" s="18">
        <f t="shared" si="51"/>
        <v>787043.60540100001</v>
      </c>
      <c r="S432" s="374" t="s">
        <v>4976</v>
      </c>
      <c r="AJ432" s="20">
        <v>134</v>
      </c>
      <c r="AK432" s="20" t="s">
        <v>5202</v>
      </c>
      <c r="AL432" s="37">
        <v>-26000000</v>
      </c>
      <c r="AM432" s="20">
        <v>0</v>
      </c>
      <c r="AN432" s="20">
        <f t="shared" si="54"/>
        <v>403</v>
      </c>
      <c r="AO432" s="20">
        <f t="shared" si="55"/>
        <v>-10478000000</v>
      </c>
      <c r="AP432" s="20"/>
    </row>
    <row r="433" spans="13:47">
      <c r="M433" s="361" t="s">
        <v>6692</v>
      </c>
      <c r="N433" s="1">
        <v>2016850.526604</v>
      </c>
      <c r="O433" s="374" t="s">
        <v>6673</v>
      </c>
      <c r="P433" s="374">
        <v>8290</v>
      </c>
      <c r="Q433" s="18">
        <v>3015.492741</v>
      </c>
      <c r="R433" s="18">
        <f t="shared" si="51"/>
        <v>24998434.822889999</v>
      </c>
      <c r="S433" s="374" t="s">
        <v>6719</v>
      </c>
      <c r="AJ433" s="172">
        <v>135</v>
      </c>
      <c r="AK433" s="172" t="s">
        <v>5202</v>
      </c>
      <c r="AL433" s="166">
        <v>-26000000</v>
      </c>
      <c r="AM433" s="172">
        <v>1</v>
      </c>
      <c r="AN433" s="172">
        <f t="shared" si="54"/>
        <v>403</v>
      </c>
      <c r="AO433" s="172">
        <f t="shared" si="55"/>
        <v>-10478000000</v>
      </c>
      <c r="AP433" s="172"/>
    </row>
    <row r="434" spans="13:47">
      <c r="M434" s="361" t="s">
        <v>6695</v>
      </c>
      <c r="N434" s="1">
        <v>130754.575732</v>
      </c>
      <c r="O434" s="374" t="s">
        <v>6724</v>
      </c>
      <c r="P434" s="374">
        <v>19234</v>
      </c>
      <c r="Q434" s="18">
        <v>3015.492741</v>
      </c>
      <c r="R434" s="18">
        <f t="shared" ref="R434:R499" si="56">P434*Q434</f>
        <v>57999987.380393997</v>
      </c>
      <c r="S434" s="374" t="s">
        <v>6719</v>
      </c>
      <c r="AJ434" s="20">
        <v>136</v>
      </c>
      <c r="AK434" s="20" t="s">
        <v>5206</v>
      </c>
      <c r="AL434" s="37">
        <v>-81800000</v>
      </c>
      <c r="AM434" s="20">
        <v>0</v>
      </c>
      <c r="AN434" s="20">
        <f t="shared" si="54"/>
        <v>402</v>
      </c>
      <c r="AO434" s="20">
        <f t="shared" si="55"/>
        <v>-32883600000</v>
      </c>
      <c r="AP434" s="20"/>
    </row>
    <row r="435" spans="13:47">
      <c r="M435" s="361" t="s">
        <v>6696</v>
      </c>
      <c r="N435" s="1">
        <v>153756.41398000001</v>
      </c>
      <c r="O435" s="374" t="s">
        <v>6725</v>
      </c>
      <c r="P435" s="374">
        <v>242</v>
      </c>
      <c r="Q435" s="18">
        <v>2808.4181440000002</v>
      </c>
      <c r="R435" s="18">
        <f t="shared" si="56"/>
        <v>679637.190848</v>
      </c>
      <c r="S435" s="374" t="s">
        <v>4976</v>
      </c>
      <c r="AJ435" s="172">
        <v>137</v>
      </c>
      <c r="AK435" s="172" t="s">
        <v>5206</v>
      </c>
      <c r="AL435" s="166">
        <v>-110000000</v>
      </c>
      <c r="AM435" s="172">
        <v>1</v>
      </c>
      <c r="AN435" s="172">
        <f t="shared" si="54"/>
        <v>402</v>
      </c>
      <c r="AO435" s="172">
        <f t="shared" si="55"/>
        <v>-44220000000</v>
      </c>
      <c r="AP435" s="172"/>
      <c r="AS435" t="s">
        <v>25</v>
      </c>
    </row>
    <row r="436" spans="13:47">
      <c r="M436" s="361" t="s">
        <v>6701</v>
      </c>
      <c r="N436" s="1">
        <v>549780</v>
      </c>
      <c r="O436" s="374" t="s">
        <v>6728</v>
      </c>
      <c r="P436" s="374">
        <v>141</v>
      </c>
      <c r="Q436" s="18">
        <v>2858.5482630000001</v>
      </c>
      <c r="R436" s="18">
        <f t="shared" si="56"/>
        <v>403055.30508300004</v>
      </c>
      <c r="S436" s="374" t="s">
        <v>4976</v>
      </c>
      <c r="AJ436" s="20">
        <v>138</v>
      </c>
      <c r="AK436" s="20" t="s">
        <v>5207</v>
      </c>
      <c r="AL436" s="37">
        <v>-34000000</v>
      </c>
      <c r="AM436" s="20">
        <v>0</v>
      </c>
      <c r="AN436" s="20">
        <f t="shared" si="54"/>
        <v>401</v>
      </c>
      <c r="AO436" s="20">
        <f t="shared" si="55"/>
        <v>-13634000000</v>
      </c>
      <c r="AP436" s="20"/>
    </row>
    <row r="437" spans="13:47">
      <c r="M437" s="361" t="s">
        <v>6702</v>
      </c>
      <c r="N437" s="1">
        <v>1464826.6705450001</v>
      </c>
      <c r="O437" s="374" t="s">
        <v>6743</v>
      </c>
      <c r="P437" s="374">
        <v>171</v>
      </c>
      <c r="Q437" s="18">
        <v>2790.5885250000001</v>
      </c>
      <c r="R437" s="18">
        <f t="shared" si="56"/>
        <v>477190.63777500001</v>
      </c>
      <c r="S437" s="374" t="s">
        <v>4976</v>
      </c>
      <c r="AJ437" s="97">
        <v>139</v>
      </c>
      <c r="AK437" s="97" t="s">
        <v>5207</v>
      </c>
      <c r="AL437" s="131">
        <v>-23900000</v>
      </c>
      <c r="AM437" s="97">
        <v>5</v>
      </c>
      <c r="AN437" s="97">
        <f t="shared" ref="AN437:AN442" si="57">AM437+AN438</f>
        <v>401</v>
      </c>
      <c r="AO437" s="97">
        <f t="shared" ref="AO437:AO442" si="58">AL437*AN437</f>
        <v>-9583900000</v>
      </c>
      <c r="AP437" s="97"/>
    </row>
    <row r="438" spans="13:47">
      <c r="M438" s="361" t="s">
        <v>6705</v>
      </c>
      <c r="N438" s="1">
        <v>298481.41232</v>
      </c>
      <c r="O438" s="374" t="s">
        <v>6745</v>
      </c>
      <c r="P438" s="374">
        <v>324</v>
      </c>
      <c r="Q438" s="18">
        <v>2823.8782249999999</v>
      </c>
      <c r="R438" s="18">
        <f t="shared" si="56"/>
        <v>914936.54489999998</v>
      </c>
      <c r="S438" s="374" t="s">
        <v>4976</v>
      </c>
      <c r="AJ438" s="20">
        <v>140</v>
      </c>
      <c r="AK438" s="20" t="s">
        <v>5220</v>
      </c>
      <c r="AL438" s="37">
        <v>1000000</v>
      </c>
      <c r="AM438" s="20">
        <v>0</v>
      </c>
      <c r="AN438" s="20">
        <f t="shared" si="57"/>
        <v>396</v>
      </c>
      <c r="AO438" s="20">
        <f t="shared" si="58"/>
        <v>396000000</v>
      </c>
      <c r="AP438" s="20"/>
    </row>
    <row r="439" spans="13:47">
      <c r="M439" s="361" t="s">
        <v>6709</v>
      </c>
      <c r="N439" s="1">
        <v>-364446421.691778</v>
      </c>
      <c r="O439" s="374" t="s">
        <v>6747</v>
      </c>
      <c r="P439" s="374">
        <v>123</v>
      </c>
      <c r="Q439" s="18">
        <v>2832.4637769999999</v>
      </c>
      <c r="R439" s="18">
        <f t="shared" si="56"/>
        <v>348393.04457099998</v>
      </c>
      <c r="S439" s="374" t="s">
        <v>4976</v>
      </c>
      <c r="AB439" t="s">
        <v>25</v>
      </c>
      <c r="AJ439" s="97">
        <v>141</v>
      </c>
      <c r="AK439" s="97" t="s">
        <v>5220</v>
      </c>
      <c r="AL439" s="131">
        <v>1000000</v>
      </c>
      <c r="AM439" s="97">
        <v>4</v>
      </c>
      <c r="AN439" s="97">
        <f t="shared" si="57"/>
        <v>396</v>
      </c>
      <c r="AO439" s="97">
        <f t="shared" si="58"/>
        <v>396000000</v>
      </c>
      <c r="AP439" s="97"/>
      <c r="AU439" t="s">
        <v>25</v>
      </c>
    </row>
    <row r="440" spans="13:47">
      <c r="M440" s="361" t="s">
        <v>6714</v>
      </c>
      <c r="N440" s="1">
        <v>787043.60540100001</v>
      </c>
      <c r="O440" s="374" t="s">
        <v>6756</v>
      </c>
      <c r="P440" s="374">
        <v>252</v>
      </c>
      <c r="Q440" s="18">
        <v>2859.492174</v>
      </c>
      <c r="R440" s="18">
        <f t="shared" si="56"/>
        <v>720592.02784799994</v>
      </c>
      <c r="S440" s="374" t="s">
        <v>4976</v>
      </c>
      <c r="AJ440" s="20">
        <v>142</v>
      </c>
      <c r="AK440" s="20" t="s">
        <v>5224</v>
      </c>
      <c r="AL440" s="37">
        <v>400000</v>
      </c>
      <c r="AM440" s="20">
        <v>0</v>
      </c>
      <c r="AN440" s="20">
        <f t="shared" si="57"/>
        <v>392</v>
      </c>
      <c r="AO440" s="20">
        <f t="shared" si="58"/>
        <v>156800000</v>
      </c>
      <c r="AP440" s="20"/>
    </row>
    <row r="441" spans="13:47">
      <c r="M441" s="361" t="s">
        <v>6673</v>
      </c>
      <c r="N441" s="1">
        <v>25000000</v>
      </c>
      <c r="O441" s="374" t="s">
        <v>6757</v>
      </c>
      <c r="P441" s="374">
        <v>301</v>
      </c>
      <c r="Q441" s="18">
        <v>2890.4368220000001</v>
      </c>
      <c r="R441" s="18">
        <f t="shared" si="56"/>
        <v>870021.48342200008</v>
      </c>
      <c r="S441" s="374" t="s">
        <v>4976</v>
      </c>
      <c r="AA441" t="s">
        <v>25</v>
      </c>
      <c r="AB441" t="s">
        <v>25</v>
      </c>
      <c r="AJ441" s="97">
        <v>143</v>
      </c>
      <c r="AK441" s="97" t="s">
        <v>5224</v>
      </c>
      <c r="AL441" s="131">
        <v>400000</v>
      </c>
      <c r="AM441" s="97">
        <v>35</v>
      </c>
      <c r="AN441" s="97">
        <f t="shared" si="57"/>
        <v>392</v>
      </c>
      <c r="AO441" s="97">
        <f t="shared" si="58"/>
        <v>156800000</v>
      </c>
      <c r="AP441" s="97"/>
    </row>
    <row r="442" spans="13:47">
      <c r="M442" s="361" t="s">
        <v>6724</v>
      </c>
      <c r="N442" s="1">
        <v>57999987.380393997</v>
      </c>
      <c r="O442" s="374" t="s">
        <v>6758</v>
      </c>
      <c r="P442" s="374">
        <v>132</v>
      </c>
      <c r="Q442" s="18">
        <v>2871.4281299999998</v>
      </c>
      <c r="R442" s="18">
        <f t="shared" si="56"/>
        <v>379028.51315999997</v>
      </c>
      <c r="S442" s="374" t="s">
        <v>4976</v>
      </c>
      <c r="AB442" t="s">
        <v>25</v>
      </c>
      <c r="AJ442" s="20">
        <v>144</v>
      </c>
      <c r="AK442" s="20" t="s">
        <v>5258</v>
      </c>
      <c r="AL442" s="37">
        <v>3000000</v>
      </c>
      <c r="AM442" s="20">
        <v>0</v>
      </c>
      <c r="AN442" s="20">
        <f t="shared" si="57"/>
        <v>357</v>
      </c>
      <c r="AO442" s="20">
        <f t="shared" si="58"/>
        <v>1071000000</v>
      </c>
      <c r="AP442" s="20"/>
    </row>
    <row r="443" spans="13:47">
      <c r="M443" s="361" t="s">
        <v>6725</v>
      </c>
      <c r="N443" s="1">
        <v>679637.190848</v>
      </c>
      <c r="O443" s="374" t="s">
        <v>6759</v>
      </c>
      <c r="P443" s="374">
        <v>257</v>
      </c>
      <c r="Q443" s="18">
        <v>2829.3778179999999</v>
      </c>
      <c r="R443" s="18">
        <f t="shared" si="56"/>
        <v>727150.09922600002</v>
      </c>
      <c r="S443" s="374" t="s">
        <v>4976</v>
      </c>
      <c r="AB443" t="s">
        <v>25</v>
      </c>
      <c r="AJ443" s="97">
        <v>145</v>
      </c>
      <c r="AK443" s="97" t="s">
        <v>5258</v>
      </c>
      <c r="AL443" s="131">
        <v>2725000</v>
      </c>
      <c r="AM443" s="97">
        <v>19</v>
      </c>
      <c r="AN443" s="97">
        <f t="shared" ref="AN443:AN453" si="59">AM443+AN444</f>
        <v>357</v>
      </c>
      <c r="AO443" s="97">
        <f t="shared" ref="AO443:AO453" si="60">AL443*AN443</f>
        <v>972825000</v>
      </c>
      <c r="AP443" s="97"/>
    </row>
    <row r="444" spans="13:47">
      <c r="M444" s="361" t="s">
        <v>6728</v>
      </c>
      <c r="N444" s="1">
        <v>403055.30508300004</v>
      </c>
      <c r="O444" s="374" t="s">
        <v>6762</v>
      </c>
      <c r="P444" s="374">
        <v>3580</v>
      </c>
      <c r="Q444" s="18">
        <v>2792.7543000000001</v>
      </c>
      <c r="R444" s="18">
        <f t="shared" si="56"/>
        <v>9998060.3939999994</v>
      </c>
      <c r="S444" s="374" t="s">
        <v>6763</v>
      </c>
      <c r="AB444" t="s">
        <v>25</v>
      </c>
      <c r="AJ444" s="97">
        <v>146</v>
      </c>
      <c r="AK444" s="97" t="s">
        <v>5159</v>
      </c>
      <c r="AL444" s="131">
        <v>-8644090</v>
      </c>
      <c r="AM444" s="97">
        <v>0</v>
      </c>
      <c r="AN444" s="97">
        <f t="shared" si="59"/>
        <v>338</v>
      </c>
      <c r="AO444" s="97">
        <f t="shared" si="60"/>
        <v>-2921702420</v>
      </c>
      <c r="AP444" s="97" t="s">
        <v>4615</v>
      </c>
      <c r="AT444" t="s">
        <v>25</v>
      </c>
    </row>
    <row r="445" spans="13:47">
      <c r="M445" s="361" t="s">
        <v>6743</v>
      </c>
      <c r="N445" s="1">
        <v>477190.63777500001</v>
      </c>
      <c r="O445" s="374" t="s">
        <v>6762</v>
      </c>
      <c r="P445" s="374">
        <v>-3580</v>
      </c>
      <c r="Q445" s="18">
        <v>2792.7543000000001</v>
      </c>
      <c r="R445" s="18">
        <f t="shared" si="56"/>
        <v>-9998060.3939999994</v>
      </c>
      <c r="S445" s="374" t="s">
        <v>6764</v>
      </c>
      <c r="AJ445" s="20">
        <v>147</v>
      </c>
      <c r="AK445" s="20" t="s">
        <v>5159</v>
      </c>
      <c r="AL445" s="37">
        <v>-65461942</v>
      </c>
      <c r="AM445" s="20">
        <v>1</v>
      </c>
      <c r="AN445" s="20">
        <f t="shared" si="59"/>
        <v>338</v>
      </c>
      <c r="AO445" s="20">
        <f t="shared" si="60"/>
        <v>-22126136396</v>
      </c>
      <c r="AP445" s="20" t="s">
        <v>4615</v>
      </c>
    </row>
    <row r="446" spans="13:47">
      <c r="M446" s="361" t="s">
        <v>6745</v>
      </c>
      <c r="N446" s="1">
        <v>914936.54489999998</v>
      </c>
      <c r="O446" s="374" t="s">
        <v>6797</v>
      </c>
      <c r="P446" s="374">
        <v>3891</v>
      </c>
      <c r="Q446" s="18">
        <v>2964.3332270000001</v>
      </c>
      <c r="R446" s="18">
        <f t="shared" si="56"/>
        <v>11534220.586257</v>
      </c>
      <c r="S446" s="374" t="s">
        <v>6798</v>
      </c>
      <c r="AC446" t="s">
        <v>25</v>
      </c>
      <c r="AJ446" s="20">
        <v>148</v>
      </c>
      <c r="AK446" s="20" t="s">
        <v>5280</v>
      </c>
      <c r="AL446" s="37">
        <v>35000000</v>
      </c>
      <c r="AM446" s="20">
        <v>15</v>
      </c>
      <c r="AN446" s="20">
        <f t="shared" si="59"/>
        <v>337</v>
      </c>
      <c r="AO446" s="20">
        <f t="shared" si="60"/>
        <v>11795000000</v>
      </c>
      <c r="AP446" s="20"/>
      <c r="AS446" t="s">
        <v>25</v>
      </c>
    </row>
    <row r="447" spans="13:47">
      <c r="M447" s="361" t="s">
        <v>6747</v>
      </c>
      <c r="N447" s="1">
        <v>348393.04457099998</v>
      </c>
      <c r="O447" s="374" t="s">
        <v>6803</v>
      </c>
      <c r="P447" s="374">
        <v>2861</v>
      </c>
      <c r="Q447" s="18">
        <v>3033.0118830000001</v>
      </c>
      <c r="R447" s="18">
        <f t="shared" si="56"/>
        <v>8677446.9972630013</v>
      </c>
      <c r="S447" s="374" t="s">
        <v>4976</v>
      </c>
      <c r="AJ447" s="97">
        <v>149</v>
      </c>
      <c r="AK447" s="97" t="s">
        <v>5297</v>
      </c>
      <c r="AL447" s="131">
        <v>1400000</v>
      </c>
      <c r="AM447" s="97">
        <v>0</v>
      </c>
      <c r="AN447" s="97">
        <f t="shared" si="59"/>
        <v>322</v>
      </c>
      <c r="AO447" s="97">
        <f t="shared" si="60"/>
        <v>450800000</v>
      </c>
      <c r="AP447" s="97"/>
    </row>
    <row r="448" spans="13:47">
      <c r="M448" s="361" t="s">
        <v>6756</v>
      </c>
      <c r="N448" s="1">
        <v>720592.02784799994</v>
      </c>
      <c r="O448" s="374" t="s">
        <v>6804</v>
      </c>
      <c r="P448" s="374">
        <v>1284</v>
      </c>
      <c r="Q448" s="18">
        <v>3029.0620829999998</v>
      </c>
      <c r="R448" s="18">
        <f t="shared" si="56"/>
        <v>3889315.7145719999</v>
      </c>
      <c r="S448" s="374" t="s">
        <v>4976</v>
      </c>
      <c r="AJ448" s="20">
        <v>150</v>
      </c>
      <c r="AK448" s="20" t="s">
        <v>5297</v>
      </c>
      <c r="AL448" s="37">
        <v>1600000</v>
      </c>
      <c r="AM448" s="20">
        <v>1</v>
      </c>
      <c r="AN448" s="20">
        <f t="shared" si="59"/>
        <v>322</v>
      </c>
      <c r="AO448" s="20">
        <f t="shared" si="60"/>
        <v>515200000</v>
      </c>
      <c r="AP448" s="20"/>
    </row>
    <row r="449" spans="13:46">
      <c r="M449" s="361" t="s">
        <v>6757</v>
      </c>
      <c r="N449" s="1">
        <v>870021.48342200008</v>
      </c>
      <c r="O449" s="374" t="s">
        <v>6818</v>
      </c>
      <c r="P449" s="374">
        <v>2021</v>
      </c>
      <c r="Q449" s="18">
        <v>3344.9430510000002</v>
      </c>
      <c r="R449" s="18">
        <f t="shared" si="56"/>
        <v>6760129.9060710007</v>
      </c>
      <c r="S449" s="374" t="s">
        <v>4976</v>
      </c>
      <c r="AJ449" s="97">
        <v>151</v>
      </c>
      <c r="AK449" s="97" t="s">
        <v>5300</v>
      </c>
      <c r="AL449" s="131">
        <v>600000</v>
      </c>
      <c r="AM449" s="97">
        <v>0</v>
      </c>
      <c r="AN449" s="97">
        <f t="shared" si="59"/>
        <v>321</v>
      </c>
      <c r="AO449" s="97">
        <f t="shared" si="60"/>
        <v>192600000</v>
      </c>
      <c r="AP449" s="97" t="s">
        <v>5302</v>
      </c>
      <c r="AT449" t="s">
        <v>25</v>
      </c>
    </row>
    <row r="450" spans="13:46">
      <c r="M450" s="361" t="s">
        <v>6758</v>
      </c>
      <c r="N450" s="1">
        <v>379028.51315999997</v>
      </c>
      <c r="O450" s="374" t="s">
        <v>6820</v>
      </c>
      <c r="P450" s="374">
        <v>2934</v>
      </c>
      <c r="Q450" s="18">
        <v>3379.9579100000001</v>
      </c>
      <c r="R450" s="18">
        <f t="shared" si="56"/>
        <v>9916796.5079399999</v>
      </c>
      <c r="S450" s="374" t="s">
        <v>4976</v>
      </c>
      <c r="AJ450" s="20">
        <v>152</v>
      </c>
      <c r="AK450" s="20" t="s">
        <v>5300</v>
      </c>
      <c r="AL450" s="37">
        <v>600000</v>
      </c>
      <c r="AM450" s="20">
        <v>9</v>
      </c>
      <c r="AN450" s="20">
        <f t="shared" si="59"/>
        <v>321</v>
      </c>
      <c r="AO450" s="20">
        <f t="shared" si="60"/>
        <v>192600000</v>
      </c>
      <c r="AP450" s="20" t="s">
        <v>5302</v>
      </c>
    </row>
    <row r="451" spans="13:46">
      <c r="M451" s="361" t="s">
        <v>6759</v>
      </c>
      <c r="N451" s="1">
        <v>727150.09922600002</v>
      </c>
      <c r="O451" s="374" t="s">
        <v>6822</v>
      </c>
      <c r="P451" s="374">
        <v>275</v>
      </c>
      <c r="Q451" s="18">
        <v>3522.6723659999998</v>
      </c>
      <c r="R451" s="18">
        <f t="shared" si="56"/>
        <v>968734.90064999997</v>
      </c>
      <c r="S451" s="374" t="s">
        <v>4976</v>
      </c>
      <c r="AH451" t="s">
        <v>25</v>
      </c>
      <c r="AJ451" s="20">
        <v>153</v>
      </c>
      <c r="AK451" s="20" t="s">
        <v>5308</v>
      </c>
      <c r="AL451" s="37">
        <v>20000000</v>
      </c>
      <c r="AM451" s="20">
        <v>23</v>
      </c>
      <c r="AN451" s="20">
        <f t="shared" si="59"/>
        <v>312</v>
      </c>
      <c r="AO451" s="20">
        <f t="shared" si="60"/>
        <v>6240000000</v>
      </c>
      <c r="AP451" s="20" t="s">
        <v>5314</v>
      </c>
    </row>
    <row r="452" spans="13:46">
      <c r="M452" s="361" t="s">
        <v>6797</v>
      </c>
      <c r="N452" s="1">
        <v>11534220.586257</v>
      </c>
      <c r="O452" s="374" t="s">
        <v>6824</v>
      </c>
      <c r="P452" s="374">
        <v>211</v>
      </c>
      <c r="Q452" s="18">
        <v>3611.0870030000001</v>
      </c>
      <c r="R452" s="18">
        <f t="shared" si="56"/>
        <v>761939.35763300001</v>
      </c>
      <c r="S452" s="374" t="s">
        <v>4976</v>
      </c>
      <c r="AC452" t="s">
        <v>25</v>
      </c>
      <c r="AJ452" s="20">
        <v>154</v>
      </c>
      <c r="AK452" s="20" t="s">
        <v>5334</v>
      </c>
      <c r="AL452" s="37">
        <v>-46183500</v>
      </c>
      <c r="AM452" s="20">
        <v>0</v>
      </c>
      <c r="AN452" s="20">
        <f t="shared" si="59"/>
        <v>289</v>
      </c>
      <c r="AO452" s="20">
        <f t="shared" si="60"/>
        <v>-13347031500</v>
      </c>
      <c r="AP452" s="20" t="s">
        <v>4733</v>
      </c>
    </row>
    <row r="453" spans="13:46">
      <c r="M453" s="361" t="s">
        <v>6803</v>
      </c>
      <c r="N453" s="1">
        <v>8677446.9972630013</v>
      </c>
      <c r="O453" s="374" t="s">
        <v>6825</v>
      </c>
      <c r="P453" s="374">
        <v>957</v>
      </c>
      <c r="Q453" s="18">
        <v>3795.0145109999999</v>
      </c>
      <c r="R453" s="18">
        <f t="shared" si="56"/>
        <v>3631828.8870270001</v>
      </c>
      <c r="S453" s="374" t="s">
        <v>4976</v>
      </c>
      <c r="AJ453" s="97">
        <v>155</v>
      </c>
      <c r="AK453" s="97" t="s">
        <v>5334</v>
      </c>
      <c r="AL453" s="131">
        <v>-1812800</v>
      </c>
      <c r="AM453" s="97">
        <v>2</v>
      </c>
      <c r="AN453" s="97">
        <f t="shared" si="59"/>
        <v>289</v>
      </c>
      <c r="AO453" s="97">
        <f t="shared" si="60"/>
        <v>-523899200</v>
      </c>
      <c r="AP453" s="97" t="s">
        <v>4733</v>
      </c>
    </row>
    <row r="454" spans="13:46">
      <c r="M454" s="361" t="s">
        <v>6804</v>
      </c>
      <c r="N454" s="1">
        <v>3889315.7145719999</v>
      </c>
      <c r="O454" s="374" t="s">
        <v>6825</v>
      </c>
      <c r="P454" s="374">
        <v>93740</v>
      </c>
      <c r="Q454" s="18">
        <v>3795</v>
      </c>
      <c r="R454" s="18">
        <f t="shared" si="56"/>
        <v>355743300</v>
      </c>
      <c r="S454" s="374" t="s">
        <v>6856</v>
      </c>
      <c r="AJ454" s="20">
        <v>156</v>
      </c>
      <c r="AK454" s="20" t="s">
        <v>5338</v>
      </c>
      <c r="AL454" s="37">
        <v>90000</v>
      </c>
      <c r="AM454" s="20">
        <v>0</v>
      </c>
      <c r="AN454" s="20">
        <f t="shared" ref="AN454:AN468" si="61">AM454+AN455</f>
        <v>287</v>
      </c>
      <c r="AO454" s="20">
        <f t="shared" ref="AO454:AO468" si="62">AL454*AN454</f>
        <v>25830000</v>
      </c>
      <c r="AP454" s="20"/>
    </row>
    <row r="455" spans="13:46">
      <c r="M455" s="361" t="s">
        <v>6818</v>
      </c>
      <c r="N455" s="1">
        <v>6760129.9060710007</v>
      </c>
      <c r="O455" s="374" t="s">
        <v>6825</v>
      </c>
      <c r="P455" s="374">
        <v>286762</v>
      </c>
      <c r="Q455" s="18">
        <v>3795</v>
      </c>
      <c r="R455" s="18">
        <f t="shared" si="56"/>
        <v>1088261790</v>
      </c>
      <c r="S455" s="374" t="s">
        <v>5282</v>
      </c>
      <c r="AJ455" s="97">
        <v>157</v>
      </c>
      <c r="AK455" s="97" t="s">
        <v>5338</v>
      </c>
      <c r="AL455" s="131">
        <v>60000</v>
      </c>
      <c r="AM455" s="97">
        <v>5</v>
      </c>
      <c r="AN455" s="97">
        <f t="shared" si="61"/>
        <v>287</v>
      </c>
      <c r="AO455" s="97">
        <f t="shared" si="62"/>
        <v>17220000</v>
      </c>
      <c r="AP455" s="97"/>
    </row>
    <row r="456" spans="13:46">
      <c r="M456" s="361" t="s">
        <v>6820</v>
      </c>
      <c r="N456" s="1">
        <v>9916796.5079399999</v>
      </c>
      <c r="O456" s="374" t="s">
        <v>6830</v>
      </c>
      <c r="P456" s="374">
        <v>508</v>
      </c>
      <c r="Q456" s="18">
        <v>3538.9250430000002</v>
      </c>
      <c r="R456" s="18">
        <f t="shared" si="56"/>
        <v>1797773.921844</v>
      </c>
      <c r="S456" s="374" t="s">
        <v>4976</v>
      </c>
      <c r="AJ456" s="20">
        <v>158</v>
      </c>
      <c r="AK456" s="20" t="s">
        <v>5343</v>
      </c>
      <c r="AL456" s="37">
        <v>50000000</v>
      </c>
      <c r="AM456" s="20">
        <v>29</v>
      </c>
      <c r="AN456" s="20">
        <f t="shared" si="61"/>
        <v>282</v>
      </c>
      <c r="AO456" s="20">
        <f t="shared" si="62"/>
        <v>14100000000</v>
      </c>
      <c r="AP456" s="20" t="s">
        <v>5345</v>
      </c>
    </row>
    <row r="457" spans="13:46">
      <c r="M457" s="361" t="s">
        <v>6822</v>
      </c>
      <c r="N457" s="1">
        <v>968734.90064999997</v>
      </c>
      <c r="O457" s="374" t="s">
        <v>6833</v>
      </c>
      <c r="P457" s="374">
        <v>1223</v>
      </c>
      <c r="Q457" s="18">
        <v>3513.6217029999998</v>
      </c>
      <c r="R457" s="18">
        <f t="shared" si="56"/>
        <v>4297159.3427689997</v>
      </c>
      <c r="S457" s="374" t="s">
        <v>4976</v>
      </c>
      <c r="AJ457" s="20">
        <v>159</v>
      </c>
      <c r="AK457" s="20" t="s">
        <v>5395</v>
      </c>
      <c r="AL457" s="37">
        <v>100000</v>
      </c>
      <c r="AM457" s="20">
        <v>1</v>
      </c>
      <c r="AN457" s="20">
        <f t="shared" si="61"/>
        <v>253</v>
      </c>
      <c r="AO457" s="20">
        <f t="shared" si="62"/>
        <v>25300000</v>
      </c>
      <c r="AP457" s="20"/>
    </row>
    <row r="458" spans="13:46">
      <c r="M458" s="361" t="s">
        <v>6824</v>
      </c>
      <c r="N458" s="1">
        <v>761939.35763300001</v>
      </c>
      <c r="O458" s="374" t="s">
        <v>6835</v>
      </c>
      <c r="P458" s="374">
        <v>1339</v>
      </c>
      <c r="Q458" s="18">
        <v>3559.1614199999999</v>
      </c>
      <c r="R458" s="18">
        <f t="shared" si="56"/>
        <v>4765717.1413799999</v>
      </c>
      <c r="S458" s="374" t="s">
        <v>4976</v>
      </c>
      <c r="AB458" t="s">
        <v>25</v>
      </c>
      <c r="AJ458" s="97">
        <v>160</v>
      </c>
      <c r="AK458" s="97" t="s">
        <v>5385</v>
      </c>
      <c r="AL458" s="131">
        <v>150000</v>
      </c>
      <c r="AM458" s="97">
        <v>0</v>
      </c>
      <c r="AN458" s="97">
        <f t="shared" si="61"/>
        <v>252</v>
      </c>
      <c r="AO458" s="97">
        <f t="shared" si="62"/>
        <v>37800000</v>
      </c>
      <c r="AP458" s="97"/>
    </row>
    <row r="459" spans="13:46">
      <c r="M459" s="361" t="s">
        <v>6825</v>
      </c>
      <c r="N459" s="1">
        <v>3631828.8870270001</v>
      </c>
      <c r="O459" s="374" t="s">
        <v>6840</v>
      </c>
      <c r="P459" s="374">
        <v>1019</v>
      </c>
      <c r="Q459" s="18">
        <v>3645.9982620000001</v>
      </c>
      <c r="R459" s="18">
        <f t="shared" si="56"/>
        <v>3715272.2289780001</v>
      </c>
      <c r="S459" s="374" t="s">
        <v>4976</v>
      </c>
      <c r="AB459" t="s">
        <v>25</v>
      </c>
      <c r="AJ459" s="20">
        <v>161</v>
      </c>
      <c r="AK459" s="20" t="s">
        <v>5385</v>
      </c>
      <c r="AL459" s="37">
        <v>-683050</v>
      </c>
      <c r="AM459" s="20">
        <v>7</v>
      </c>
      <c r="AN459" s="20">
        <f t="shared" si="61"/>
        <v>252</v>
      </c>
      <c r="AO459" s="20">
        <f t="shared" si="62"/>
        <v>-172128600</v>
      </c>
      <c r="AP459" s="20" t="s">
        <v>5398</v>
      </c>
    </row>
    <row r="460" spans="13:46">
      <c r="M460" s="361" t="s">
        <v>6830</v>
      </c>
      <c r="N460" s="1">
        <v>1797773.921844</v>
      </c>
      <c r="O460" s="374" t="s">
        <v>6841</v>
      </c>
      <c r="P460" s="374">
        <v>2384</v>
      </c>
      <c r="Q460" s="18">
        <v>3595.7232680000002</v>
      </c>
      <c r="R460" s="18">
        <f t="shared" si="56"/>
        <v>8572204.2709120009</v>
      </c>
      <c r="S460" s="374" t="s">
        <v>4976</v>
      </c>
      <c r="AA460" t="s">
        <v>6819</v>
      </c>
      <c r="AB460" t="s">
        <v>25</v>
      </c>
      <c r="AJ460" s="97">
        <v>162</v>
      </c>
      <c r="AK460" s="97" t="s">
        <v>5406</v>
      </c>
      <c r="AL460" s="131">
        <v>200000</v>
      </c>
      <c r="AM460" s="97">
        <v>7</v>
      </c>
      <c r="AN460" s="97">
        <f t="shared" si="61"/>
        <v>245</v>
      </c>
      <c r="AO460" s="97">
        <f t="shared" si="62"/>
        <v>49000000</v>
      </c>
      <c r="AP460" s="97"/>
    </row>
    <row r="461" spans="13:46">
      <c r="M461" s="361" t="s">
        <v>6833</v>
      </c>
      <c r="N461" s="1">
        <v>4297159.3427689997</v>
      </c>
      <c r="O461" s="374" t="s">
        <v>6841</v>
      </c>
      <c r="P461" s="374">
        <v>361</v>
      </c>
      <c r="Q461" s="18">
        <v>3596</v>
      </c>
      <c r="R461" s="18">
        <f t="shared" si="56"/>
        <v>1298156</v>
      </c>
      <c r="S461" s="374" t="s">
        <v>5282</v>
      </c>
      <c r="AB461" t="s">
        <v>25</v>
      </c>
      <c r="AJ461" s="97">
        <v>163</v>
      </c>
      <c r="AK461" s="97" t="s">
        <v>5409</v>
      </c>
      <c r="AL461" s="131">
        <v>150000</v>
      </c>
      <c r="AM461" s="97">
        <v>5</v>
      </c>
      <c r="AN461" s="97">
        <f t="shared" si="61"/>
        <v>238</v>
      </c>
      <c r="AO461" s="97">
        <f t="shared" si="62"/>
        <v>35700000</v>
      </c>
      <c r="AP461" s="97"/>
    </row>
    <row r="462" spans="13:46">
      <c r="M462" s="361" t="s">
        <v>6835</v>
      </c>
      <c r="N462" s="1">
        <v>4765717.1413799999</v>
      </c>
      <c r="O462" s="374" t="s">
        <v>6842</v>
      </c>
      <c r="P462" s="374">
        <v>1369</v>
      </c>
      <c r="Q462" s="18">
        <v>3654.9096880000002</v>
      </c>
      <c r="R462" s="18">
        <f t="shared" si="56"/>
        <v>5003571.3628719999</v>
      </c>
      <c r="S462" s="374" t="s">
        <v>4976</v>
      </c>
      <c r="AA462" t="s">
        <v>25</v>
      </c>
      <c r="AB462" t="s">
        <v>25</v>
      </c>
      <c r="AJ462" s="20">
        <v>164</v>
      </c>
      <c r="AK462" s="20" t="s">
        <v>5412</v>
      </c>
      <c r="AL462" s="37">
        <v>320000</v>
      </c>
      <c r="AM462" s="20">
        <v>2</v>
      </c>
      <c r="AN462" s="20">
        <f t="shared" si="61"/>
        <v>233</v>
      </c>
      <c r="AO462" s="20">
        <f t="shared" si="62"/>
        <v>74560000</v>
      </c>
      <c r="AP462" s="20"/>
    </row>
    <row r="463" spans="13:46">
      <c r="M463" s="361" t="s">
        <v>6840</v>
      </c>
      <c r="N463" s="1">
        <v>3715272.2289780001</v>
      </c>
      <c r="O463" s="374" t="s">
        <v>6846</v>
      </c>
      <c r="P463" s="374">
        <v>1315</v>
      </c>
      <c r="Q463" s="18">
        <v>3660.67461</v>
      </c>
      <c r="R463" s="18">
        <f t="shared" si="56"/>
        <v>4813787.1121500004</v>
      </c>
      <c r="S463" s="374" t="s">
        <v>4976</v>
      </c>
      <c r="AB463" t="s">
        <v>25</v>
      </c>
      <c r="AJ463" s="20">
        <v>165</v>
      </c>
      <c r="AK463" s="20" t="s">
        <v>5413</v>
      </c>
      <c r="AL463" s="37">
        <v>200000</v>
      </c>
      <c r="AM463" s="20">
        <v>29</v>
      </c>
      <c r="AN463" s="20">
        <f t="shared" si="61"/>
        <v>231</v>
      </c>
      <c r="AO463" s="20">
        <f t="shared" si="62"/>
        <v>46200000</v>
      </c>
      <c r="AP463" s="20"/>
    </row>
    <row r="464" spans="13:46">
      <c r="M464" s="361" t="s">
        <v>6841</v>
      </c>
      <c r="N464" s="18">
        <v>8572204.2709120009</v>
      </c>
      <c r="O464" s="374" t="s">
        <v>6846</v>
      </c>
      <c r="P464" s="374">
        <v>12078</v>
      </c>
      <c r="Q464" s="18">
        <v>3660.67461</v>
      </c>
      <c r="R464" s="18">
        <f t="shared" si="56"/>
        <v>44213627.939580001</v>
      </c>
      <c r="S464" s="374" t="s">
        <v>6847</v>
      </c>
      <c r="AA464" t="s">
        <v>25</v>
      </c>
      <c r="AC464" t="s">
        <v>25</v>
      </c>
      <c r="AJ464" s="20">
        <v>166</v>
      </c>
      <c r="AK464" s="20" t="s">
        <v>5435</v>
      </c>
      <c r="AL464" s="37">
        <v>4200000</v>
      </c>
      <c r="AM464" s="20">
        <v>0</v>
      </c>
      <c r="AN464" s="20">
        <f t="shared" si="61"/>
        <v>202</v>
      </c>
      <c r="AO464" s="20">
        <f t="shared" si="62"/>
        <v>848400000</v>
      </c>
      <c r="AP464" s="20"/>
      <c r="AT464" t="s">
        <v>25</v>
      </c>
    </row>
    <row r="465" spans="13:47">
      <c r="M465" s="361" t="s">
        <v>6842</v>
      </c>
      <c r="N465" s="18">
        <v>5003571.3628719999</v>
      </c>
      <c r="O465" s="374" t="s">
        <v>6848</v>
      </c>
      <c r="P465" s="374">
        <v>1744</v>
      </c>
      <c r="Q465" s="18">
        <v>3667.729437</v>
      </c>
      <c r="R465" s="18">
        <f t="shared" si="56"/>
        <v>6396520.1381280003</v>
      </c>
      <c r="S465" s="374" t="s">
        <v>4976</v>
      </c>
      <c r="AA465" t="s">
        <v>25</v>
      </c>
      <c r="AB465" t="s">
        <v>25</v>
      </c>
      <c r="AJ465" s="97">
        <v>167</v>
      </c>
      <c r="AK465" s="97" t="s">
        <v>5435</v>
      </c>
      <c r="AL465" s="131">
        <v>3300000</v>
      </c>
      <c r="AM465" s="97">
        <v>11</v>
      </c>
      <c r="AN465" s="97">
        <f t="shared" si="61"/>
        <v>202</v>
      </c>
      <c r="AO465" s="97">
        <f t="shared" si="62"/>
        <v>666600000</v>
      </c>
      <c r="AP465" s="97"/>
      <c r="AT465" t="s">
        <v>25</v>
      </c>
    </row>
    <row r="466" spans="13:47">
      <c r="M466" s="361" t="s">
        <v>6846</v>
      </c>
      <c r="N466" s="18">
        <v>4813787.1121500004</v>
      </c>
      <c r="O466" s="374" t="s">
        <v>6850</v>
      </c>
      <c r="P466" s="374">
        <v>2898</v>
      </c>
      <c r="Q466" s="18">
        <v>3710.390046</v>
      </c>
      <c r="R466" s="18">
        <f t="shared" si="56"/>
        <v>10752710.353308</v>
      </c>
      <c r="S466" s="374" t="s">
        <v>4976</v>
      </c>
      <c r="AJ466" s="97">
        <v>168</v>
      </c>
      <c r="AK466" s="97" t="s">
        <v>5455</v>
      </c>
      <c r="AL466" s="131">
        <v>-1500000</v>
      </c>
      <c r="AM466" s="97">
        <v>42</v>
      </c>
      <c r="AN466" s="97">
        <f t="shared" si="61"/>
        <v>191</v>
      </c>
      <c r="AO466" s="97">
        <f t="shared" si="62"/>
        <v>-286500000</v>
      </c>
      <c r="AP466" s="97"/>
    </row>
    <row r="467" spans="13:47">
      <c r="M467" s="361" t="s">
        <v>6846</v>
      </c>
      <c r="N467" s="18">
        <v>44213627.939580001</v>
      </c>
      <c r="O467" s="374" t="s">
        <v>6853</v>
      </c>
      <c r="P467" s="374">
        <v>269</v>
      </c>
      <c r="Q467" s="18">
        <v>3710</v>
      </c>
      <c r="R467" s="18">
        <f t="shared" si="56"/>
        <v>997990</v>
      </c>
      <c r="S467" s="374" t="s">
        <v>6856</v>
      </c>
      <c r="AB467" t="s">
        <v>25</v>
      </c>
      <c r="AC467" t="s">
        <v>25</v>
      </c>
      <c r="AJ467" s="20">
        <v>169</v>
      </c>
      <c r="AK467" s="20" t="s">
        <v>5485</v>
      </c>
      <c r="AL467" s="37">
        <v>260000</v>
      </c>
      <c r="AM467" s="20">
        <v>22</v>
      </c>
      <c r="AN467" s="20">
        <f t="shared" si="61"/>
        <v>149</v>
      </c>
      <c r="AO467" s="20">
        <f t="shared" si="62"/>
        <v>38740000</v>
      </c>
      <c r="AP467" s="20"/>
      <c r="AU467" t="s">
        <v>25</v>
      </c>
    </row>
    <row r="468" spans="13:47">
      <c r="M468" s="361" t="s">
        <v>6848</v>
      </c>
      <c r="N468" s="18">
        <v>6396520.1381280003</v>
      </c>
      <c r="O468" s="374" t="s">
        <v>6855</v>
      </c>
      <c r="P468" s="374">
        <v>6686</v>
      </c>
      <c r="Q468" s="18">
        <v>3795.7108929999999</v>
      </c>
      <c r="R468" s="18">
        <f t="shared" si="56"/>
        <v>25378123.030598</v>
      </c>
      <c r="S468" s="374" t="s">
        <v>4976</v>
      </c>
      <c r="AB468" t="s">
        <v>25</v>
      </c>
      <c r="AJ468" s="20">
        <v>170</v>
      </c>
      <c r="AK468" s="20" t="s">
        <v>5512</v>
      </c>
      <c r="AL468" s="37">
        <v>20000</v>
      </c>
      <c r="AM468" s="20">
        <v>0</v>
      </c>
      <c r="AN468" s="20">
        <f t="shared" si="61"/>
        <v>127</v>
      </c>
      <c r="AO468" s="20">
        <f t="shared" si="62"/>
        <v>2540000</v>
      </c>
      <c r="AP468" s="20"/>
    </row>
    <row r="469" spans="13:47">
      <c r="M469" s="361" t="s">
        <v>6850</v>
      </c>
      <c r="N469" s="18">
        <v>10752710.353308</v>
      </c>
      <c r="O469" s="374" t="s">
        <v>6839</v>
      </c>
      <c r="P469" s="374">
        <v>1282</v>
      </c>
      <c r="Q469" s="18">
        <v>3778.7915130000001</v>
      </c>
      <c r="R469" s="18">
        <f t="shared" si="56"/>
        <v>4844410.7196660005</v>
      </c>
      <c r="S469" s="374" t="s">
        <v>4976</v>
      </c>
      <c r="AC469" t="s">
        <v>25</v>
      </c>
      <c r="AJ469" s="135">
        <v>171</v>
      </c>
      <c r="AK469" s="135" t="s">
        <v>5512</v>
      </c>
      <c r="AL469" s="136">
        <v>20000</v>
      </c>
      <c r="AM469" s="135">
        <v>7</v>
      </c>
      <c r="AN469" s="97">
        <f t="shared" ref="AN469:AN477" si="63">AM469+AN470</f>
        <v>127</v>
      </c>
      <c r="AO469" s="97">
        <f>AL469*AN469</f>
        <v>2540000</v>
      </c>
      <c r="AP469" s="135"/>
    </row>
    <row r="470" spans="13:47">
      <c r="M470" s="361" t="s">
        <v>6855</v>
      </c>
      <c r="N470" s="18">
        <v>25378123.030598</v>
      </c>
      <c r="O470" s="374" t="s">
        <v>6862</v>
      </c>
      <c r="P470" s="374">
        <v>1249</v>
      </c>
      <c r="Q470" s="18">
        <v>3716</v>
      </c>
      <c r="R470" s="18">
        <f t="shared" si="56"/>
        <v>4641284</v>
      </c>
      <c r="S470" s="374" t="s">
        <v>4976</v>
      </c>
      <c r="AJ470" s="97">
        <v>172</v>
      </c>
      <c r="AK470" s="97" t="s">
        <v>5519</v>
      </c>
      <c r="AL470" s="131">
        <v>70000</v>
      </c>
      <c r="AM470" s="97">
        <v>0</v>
      </c>
      <c r="AN470" s="97">
        <f t="shared" si="63"/>
        <v>120</v>
      </c>
      <c r="AO470" s="97">
        <f>AL470*AN470</f>
        <v>8400000</v>
      </c>
      <c r="AP470" s="97"/>
    </row>
    <row r="471" spans="13:47">
      <c r="M471" s="361" t="s">
        <v>6839</v>
      </c>
      <c r="N471" s="1">
        <v>4844410.7196660005</v>
      </c>
      <c r="O471" s="374" t="s">
        <v>6864</v>
      </c>
      <c r="P471" s="374">
        <v>574</v>
      </c>
      <c r="Q471" s="18">
        <v>3600.5987289999998</v>
      </c>
      <c r="R471" s="18">
        <f t="shared" si="56"/>
        <v>2066743.6704459998</v>
      </c>
      <c r="S471" s="374" t="s">
        <v>4976</v>
      </c>
      <c r="AB471" t="s">
        <v>25</v>
      </c>
      <c r="AJ471" s="20">
        <v>173</v>
      </c>
      <c r="AK471" s="20" t="s">
        <v>5519</v>
      </c>
      <c r="AL471" s="37">
        <v>70000</v>
      </c>
      <c r="AM471" s="20">
        <v>1</v>
      </c>
      <c r="AN471" s="20">
        <f t="shared" si="63"/>
        <v>120</v>
      </c>
      <c r="AO471" s="20">
        <f>AL471*AN471</f>
        <v>8400000</v>
      </c>
      <c r="AP471" s="20"/>
    </row>
    <row r="472" spans="13:47">
      <c r="M472" s="361" t="s">
        <v>6862</v>
      </c>
      <c r="N472" s="1">
        <v>4641284</v>
      </c>
      <c r="O472" s="374" t="s">
        <v>6868</v>
      </c>
      <c r="P472" s="374">
        <v>497</v>
      </c>
      <c r="Q472" s="18">
        <v>3589.3367920000001</v>
      </c>
      <c r="R472" s="18">
        <f t="shared" si="56"/>
        <v>1783900.3856240001</v>
      </c>
      <c r="S472" s="374" t="s">
        <v>4976</v>
      </c>
      <c r="AJ472" s="20">
        <v>174</v>
      </c>
      <c r="AK472" s="20" t="s">
        <v>5525</v>
      </c>
      <c r="AL472" s="37">
        <v>330000</v>
      </c>
      <c r="AM472" s="20">
        <v>0</v>
      </c>
      <c r="AN472" s="20">
        <f t="shared" si="63"/>
        <v>119</v>
      </c>
      <c r="AO472" s="20">
        <f>AL472*AN472</f>
        <v>39270000</v>
      </c>
      <c r="AP472" s="20"/>
    </row>
    <row r="473" spans="13:47">
      <c r="M473" s="361" t="s">
        <v>6864</v>
      </c>
      <c r="N473" s="1">
        <v>2066743.6704459998</v>
      </c>
      <c r="O473" s="374" t="s">
        <v>6869</v>
      </c>
      <c r="P473" s="374">
        <v>676</v>
      </c>
      <c r="Q473" s="18">
        <v>3616.4651760000002</v>
      </c>
      <c r="R473" s="18">
        <f t="shared" si="56"/>
        <v>2444730.4589760001</v>
      </c>
      <c r="S473" s="374" t="s">
        <v>4976</v>
      </c>
      <c r="AJ473" s="97">
        <v>175</v>
      </c>
      <c r="AK473" s="97" t="s">
        <v>5525</v>
      </c>
      <c r="AL473" s="131">
        <v>330000</v>
      </c>
      <c r="AM473" s="97">
        <v>10</v>
      </c>
      <c r="AN473" s="97">
        <f t="shared" si="63"/>
        <v>119</v>
      </c>
      <c r="AO473" s="97">
        <f t="shared" ref="AO473:AO478" si="64">AL473*AN473</f>
        <v>39270000</v>
      </c>
      <c r="AP473" s="97"/>
    </row>
    <row r="474" spans="13:47">
      <c r="M474" s="361" t="s">
        <v>6868</v>
      </c>
      <c r="N474" s="1">
        <v>1783900.3856240001</v>
      </c>
      <c r="O474" s="374" t="s">
        <v>6870</v>
      </c>
      <c r="P474" s="374">
        <v>3162</v>
      </c>
      <c r="Q474" s="18">
        <v>3526.4000850000002</v>
      </c>
      <c r="R474" s="18">
        <f t="shared" si="56"/>
        <v>11150477.068770001</v>
      </c>
      <c r="S474" s="374" t="s">
        <v>4976</v>
      </c>
      <c r="AA474" t="s">
        <v>25</v>
      </c>
      <c r="AJ474" s="97">
        <v>176</v>
      </c>
      <c r="AK474" s="97" t="s">
        <v>5533</v>
      </c>
      <c r="AL474" s="131">
        <v>90000000</v>
      </c>
      <c r="AM474" s="97">
        <v>16</v>
      </c>
      <c r="AN474" s="97">
        <f t="shared" si="63"/>
        <v>109</v>
      </c>
      <c r="AO474" s="97">
        <f t="shared" si="64"/>
        <v>9810000000</v>
      </c>
      <c r="AP474" s="97"/>
    </row>
    <row r="475" spans="13:47">
      <c r="M475" s="361" t="s">
        <v>6869</v>
      </c>
      <c r="N475" s="1">
        <v>2444730.4589760001</v>
      </c>
      <c r="O475" s="374" t="s">
        <v>6871</v>
      </c>
      <c r="P475" s="374">
        <v>690</v>
      </c>
      <c r="Q475" s="18">
        <v>3523.7594399999998</v>
      </c>
      <c r="R475" s="18">
        <f t="shared" si="56"/>
        <v>2431394.0135999997</v>
      </c>
      <c r="S475" s="374" t="s">
        <v>4976</v>
      </c>
      <c r="AB475" t="s">
        <v>25</v>
      </c>
      <c r="AC475" t="s">
        <v>25</v>
      </c>
      <c r="AJ475" s="97">
        <v>177</v>
      </c>
      <c r="AK475" s="97" t="s">
        <v>5546</v>
      </c>
      <c r="AL475" s="131">
        <v>-15000000</v>
      </c>
      <c r="AM475" s="97">
        <v>65</v>
      </c>
      <c r="AN475" s="97">
        <f t="shared" si="63"/>
        <v>93</v>
      </c>
      <c r="AO475" s="97">
        <f t="shared" si="64"/>
        <v>-1395000000</v>
      </c>
      <c r="AP475" s="97" t="s">
        <v>5547</v>
      </c>
    </row>
    <row r="476" spans="13:47">
      <c r="M476" s="361" t="s">
        <v>6870</v>
      </c>
      <c r="N476" s="1">
        <v>11150477.068770001</v>
      </c>
      <c r="O476" s="374" t="s">
        <v>6872</v>
      </c>
      <c r="P476" s="374">
        <v>2391</v>
      </c>
      <c r="Q476" s="18">
        <v>3532.2039439999999</v>
      </c>
      <c r="R476" s="18">
        <f t="shared" si="56"/>
        <v>8445499.6301039997</v>
      </c>
      <c r="S476" s="374" t="s">
        <v>4976</v>
      </c>
      <c r="AB476" t="s">
        <v>25</v>
      </c>
      <c r="AJ476" s="97">
        <v>178</v>
      </c>
      <c r="AK476" s="97" t="s">
        <v>5601</v>
      </c>
      <c r="AL476" s="131">
        <v>33833075</v>
      </c>
      <c r="AM476" s="97">
        <v>0</v>
      </c>
      <c r="AN476" s="97">
        <f t="shared" si="63"/>
        <v>28</v>
      </c>
      <c r="AO476" s="97">
        <f t="shared" si="64"/>
        <v>947326100</v>
      </c>
      <c r="AP476" s="97" t="s">
        <v>5604</v>
      </c>
    </row>
    <row r="477" spans="13:47">
      <c r="M477" s="361" t="s">
        <v>6871</v>
      </c>
      <c r="N477" s="1">
        <v>2431394.0135999997</v>
      </c>
      <c r="O477" s="374" t="s">
        <v>6874</v>
      </c>
      <c r="P477" s="374">
        <v>917</v>
      </c>
      <c r="Q477" s="18">
        <v>3931.4608499999999</v>
      </c>
      <c r="R477" s="18">
        <f t="shared" si="56"/>
        <v>3605149.5994500001</v>
      </c>
      <c r="S477" s="374" t="s">
        <v>4976</v>
      </c>
      <c r="AA477" t="s">
        <v>25</v>
      </c>
      <c r="AC477" t="s">
        <v>25</v>
      </c>
      <c r="AJ477" s="20">
        <v>197</v>
      </c>
      <c r="AK477" s="20" t="s">
        <v>5601</v>
      </c>
      <c r="AL477" s="37">
        <v>20033075</v>
      </c>
      <c r="AM477" s="20">
        <v>28</v>
      </c>
      <c r="AN477" s="20">
        <f t="shared" si="63"/>
        <v>28</v>
      </c>
      <c r="AO477" s="20">
        <f t="shared" si="64"/>
        <v>560926100</v>
      </c>
      <c r="AP477" s="20" t="s">
        <v>5604</v>
      </c>
    </row>
    <row r="478" spans="13:47">
      <c r="M478" s="361" t="s">
        <v>6872</v>
      </c>
      <c r="N478" s="1">
        <v>8445499.6301039997</v>
      </c>
      <c r="O478" s="374" t="s">
        <v>6882</v>
      </c>
      <c r="P478" s="374">
        <v>618</v>
      </c>
      <c r="Q478" s="18">
        <v>4285.9504459999998</v>
      </c>
      <c r="R478" s="18">
        <f t="shared" si="56"/>
        <v>2648717.3756280001</v>
      </c>
      <c r="S478" s="374" t="s">
        <v>4976</v>
      </c>
      <c r="AA478" t="s">
        <v>25</v>
      </c>
      <c r="AB478" t="s">
        <v>25</v>
      </c>
      <c r="AJ478" s="97">
        <v>198</v>
      </c>
      <c r="AK478" s="97" t="s">
        <v>5616</v>
      </c>
      <c r="AL478" s="131">
        <v>-22520813.151772</v>
      </c>
      <c r="AM478" s="97">
        <v>0</v>
      </c>
      <c r="AN478" s="97">
        <f>AM478+AN509</f>
        <v>0</v>
      </c>
      <c r="AO478" s="97">
        <f t="shared" si="64"/>
        <v>0</v>
      </c>
      <c r="AP478" s="97" t="s">
        <v>5623</v>
      </c>
      <c r="AU478" t="s">
        <v>25</v>
      </c>
    </row>
    <row r="479" spans="13:47">
      <c r="M479" s="361" t="s">
        <v>6874</v>
      </c>
      <c r="N479" s="1">
        <v>3605149.5994500001</v>
      </c>
      <c r="O479" s="374" t="s">
        <v>6884</v>
      </c>
      <c r="P479" s="374">
        <v>716</v>
      </c>
      <c r="Q479" s="18">
        <v>4386.6494759999996</v>
      </c>
      <c r="R479" s="18">
        <f t="shared" si="56"/>
        <v>3140841.0248159999</v>
      </c>
      <c r="S479" s="374" t="s">
        <v>4976</v>
      </c>
      <c r="AC479" t="s">
        <v>25</v>
      </c>
      <c r="AJ479" s="20">
        <v>199</v>
      </c>
      <c r="AK479" s="20" t="s">
        <v>5616</v>
      </c>
      <c r="AL479" s="37">
        <v>-204353015</v>
      </c>
      <c r="AM479" s="20">
        <v>0</v>
      </c>
      <c r="AN479" s="20">
        <f>AM479+AN480</f>
        <v>437</v>
      </c>
      <c r="AO479" s="20">
        <f>AL479*AN479</f>
        <v>-89302267555</v>
      </c>
      <c r="AP479" s="20" t="s">
        <v>5624</v>
      </c>
    </row>
    <row r="480" spans="13:47">
      <c r="M480" s="361" t="s">
        <v>6882</v>
      </c>
      <c r="N480" s="1">
        <v>2648717.3756280001</v>
      </c>
      <c r="O480" s="374" t="s">
        <v>6885</v>
      </c>
      <c r="P480" s="374">
        <v>331</v>
      </c>
      <c r="Q480" s="18">
        <v>4233.0955709999998</v>
      </c>
      <c r="R480" s="18">
        <f t="shared" si="56"/>
        <v>1401154.6340009999</v>
      </c>
      <c r="S480" s="374" t="s">
        <v>4976</v>
      </c>
      <c r="AB480" t="s">
        <v>25</v>
      </c>
      <c r="AC480" t="s">
        <v>25</v>
      </c>
      <c r="AJ480" s="20">
        <v>200</v>
      </c>
      <c r="AK480" s="20" t="s">
        <v>5616</v>
      </c>
      <c r="AL480" s="37">
        <v>50000000</v>
      </c>
      <c r="AM480" s="20">
        <v>1</v>
      </c>
      <c r="AN480" s="20">
        <f>AM480+AN481</f>
        <v>437</v>
      </c>
      <c r="AO480" s="20">
        <f>AL480*AN480</f>
        <v>21850000000</v>
      </c>
      <c r="AP480" s="20" t="s">
        <v>5625</v>
      </c>
    </row>
    <row r="481" spans="13:48">
      <c r="M481" s="361" t="s">
        <v>6884</v>
      </c>
      <c r="N481" s="1">
        <v>3140841.0248159999</v>
      </c>
      <c r="O481" s="374" t="s">
        <v>6893</v>
      </c>
      <c r="P481" s="374">
        <v>340</v>
      </c>
      <c r="Q481" s="18">
        <v>4311.0786930000004</v>
      </c>
      <c r="R481" s="18">
        <f t="shared" si="56"/>
        <v>1465766.7556200002</v>
      </c>
      <c r="S481" s="374" t="s">
        <v>4976</v>
      </c>
      <c r="AJ481" s="20">
        <v>201</v>
      </c>
      <c r="AK481" s="20" t="s">
        <v>5631</v>
      </c>
      <c r="AL481" s="37">
        <v>50000000</v>
      </c>
      <c r="AM481" s="20">
        <v>8</v>
      </c>
      <c r="AN481" s="20">
        <f>AM481+AN482</f>
        <v>436</v>
      </c>
      <c r="AO481" s="20">
        <f>AL481*AN481</f>
        <v>21800000000</v>
      </c>
      <c r="AP481" s="20" t="s">
        <v>5625</v>
      </c>
    </row>
    <row r="482" spans="13:48">
      <c r="M482" s="361" t="s">
        <v>6885</v>
      </c>
      <c r="N482" s="1">
        <v>1401154.6340009999</v>
      </c>
      <c r="O482" s="374" t="s">
        <v>6898</v>
      </c>
      <c r="P482" s="374">
        <v>2358</v>
      </c>
      <c r="Q482" s="18">
        <v>4665.0729620000002</v>
      </c>
      <c r="R482" s="18">
        <f t="shared" si="56"/>
        <v>11000242.044396</v>
      </c>
      <c r="S482" s="374" t="s">
        <v>5515</v>
      </c>
      <c r="AC482" t="s">
        <v>25</v>
      </c>
      <c r="AJ482" s="20">
        <v>202</v>
      </c>
      <c r="AK482" s="20" t="s">
        <v>5983</v>
      </c>
      <c r="AL482" s="37">
        <v>30000000</v>
      </c>
      <c r="AM482" s="20">
        <v>2</v>
      </c>
      <c r="AN482" s="20">
        <f>AM482+AN483</f>
        <v>428</v>
      </c>
      <c r="AO482" s="20">
        <f>AL482*AN482</f>
        <v>12840000000</v>
      </c>
      <c r="AP482" s="20" t="s">
        <v>5984</v>
      </c>
    </row>
    <row r="483" spans="13:48">
      <c r="M483" s="361" t="s">
        <v>6893</v>
      </c>
      <c r="N483" s="1">
        <v>1465766.7556200002</v>
      </c>
      <c r="O483" s="189" t="s">
        <v>6898</v>
      </c>
      <c r="P483" s="189">
        <v>314</v>
      </c>
      <c r="Q483" s="190">
        <v>4665</v>
      </c>
      <c r="R483" s="190">
        <f t="shared" si="56"/>
        <v>1464810</v>
      </c>
      <c r="S483" s="189" t="s">
        <v>6899</v>
      </c>
      <c r="AC483" t="s">
        <v>25</v>
      </c>
      <c r="AJ483" s="97">
        <v>203</v>
      </c>
      <c r="AK483" s="97" t="s">
        <v>5986</v>
      </c>
      <c r="AL483" s="131">
        <v>20000000</v>
      </c>
      <c r="AM483" s="97">
        <v>29</v>
      </c>
      <c r="AN483" s="97">
        <f t="shared" ref="AN483:AN492" si="65">AM483+AN484</f>
        <v>426</v>
      </c>
      <c r="AO483" s="97">
        <f t="shared" ref="AO483:AO492" si="66">AL483*AN483</f>
        <v>8520000000</v>
      </c>
      <c r="AP483" s="97" t="s">
        <v>5987</v>
      </c>
    </row>
    <row r="484" spans="13:48">
      <c r="M484" s="361" t="s">
        <v>6898</v>
      </c>
      <c r="N484" s="1">
        <v>11000000</v>
      </c>
      <c r="O484" s="374" t="s">
        <v>6898</v>
      </c>
      <c r="P484" s="374">
        <v>4184</v>
      </c>
      <c r="Q484" s="18">
        <v>4658.019241</v>
      </c>
      <c r="R484" s="18">
        <f t="shared" si="56"/>
        <v>19489152.504344001</v>
      </c>
      <c r="S484" s="374" t="s">
        <v>4976</v>
      </c>
      <c r="AC484" t="s">
        <v>25</v>
      </c>
      <c r="AJ484" s="97">
        <v>204</v>
      </c>
      <c r="AK484" s="97" t="s">
        <v>6006</v>
      </c>
      <c r="AL484" s="131">
        <v>-20000000</v>
      </c>
      <c r="AM484" s="97">
        <v>0</v>
      </c>
      <c r="AN484" s="97">
        <f t="shared" si="65"/>
        <v>397</v>
      </c>
      <c r="AO484" s="97">
        <f t="shared" si="66"/>
        <v>-7940000000</v>
      </c>
      <c r="AP484" s="97" t="s">
        <v>6007</v>
      </c>
    </row>
    <row r="485" spans="13:48">
      <c r="M485" s="361" t="s">
        <v>6898</v>
      </c>
      <c r="N485" s="1">
        <v>19489152.504344001</v>
      </c>
      <c r="O485" s="374" t="s">
        <v>6902</v>
      </c>
      <c r="P485" s="374">
        <v>9131</v>
      </c>
      <c r="Q485" s="18">
        <v>5039.7090079999998</v>
      </c>
      <c r="R485" s="18">
        <f t="shared" si="56"/>
        <v>46017582.952047996</v>
      </c>
      <c r="S485" s="374" t="s">
        <v>4976</v>
      </c>
      <c r="AB485" t="s">
        <v>25</v>
      </c>
      <c r="AJ485" s="97">
        <v>205</v>
      </c>
      <c r="AK485" s="97" t="s">
        <v>6006</v>
      </c>
      <c r="AL485" s="131">
        <v>2000000</v>
      </c>
      <c r="AM485" s="97">
        <v>110</v>
      </c>
      <c r="AN485" s="97">
        <f t="shared" si="65"/>
        <v>397</v>
      </c>
      <c r="AO485" s="97">
        <f t="shared" si="66"/>
        <v>794000000</v>
      </c>
      <c r="AP485" s="97" t="s">
        <v>6008</v>
      </c>
    </row>
    <row r="486" spans="13:48">
      <c r="M486" s="361" t="s">
        <v>6903</v>
      </c>
      <c r="N486" s="1">
        <v>46017582.952047996</v>
      </c>
      <c r="O486" s="374" t="s">
        <v>6912</v>
      </c>
      <c r="P486" s="374">
        <v>1519</v>
      </c>
      <c r="Q486" s="18">
        <v>4970.8994720000001</v>
      </c>
      <c r="R486" s="18">
        <f t="shared" si="56"/>
        <v>7550796.2979680002</v>
      </c>
      <c r="S486" s="374" t="s">
        <v>4976</v>
      </c>
      <c r="AB486" t="s">
        <v>25</v>
      </c>
      <c r="AC486" t="s">
        <v>25</v>
      </c>
      <c r="AJ486" s="97">
        <v>206</v>
      </c>
      <c r="AK486" s="97" t="s">
        <v>6184</v>
      </c>
      <c r="AL486" s="131">
        <v>5082711</v>
      </c>
      <c r="AM486" s="97">
        <v>89</v>
      </c>
      <c r="AN486" s="97">
        <f t="shared" si="65"/>
        <v>287</v>
      </c>
      <c r="AO486" s="97">
        <f t="shared" si="66"/>
        <v>1458738057</v>
      </c>
      <c r="AP486" s="97" t="s">
        <v>6185</v>
      </c>
      <c r="AT486" t="s">
        <v>25</v>
      </c>
    </row>
    <row r="487" spans="13:48">
      <c r="M487" s="361" t="s">
        <v>6912</v>
      </c>
      <c r="N487" s="1">
        <v>7550796.2979680002</v>
      </c>
      <c r="O487" s="374" t="s">
        <v>6913</v>
      </c>
      <c r="P487" s="374">
        <v>342</v>
      </c>
      <c r="Q487" s="18">
        <v>4937</v>
      </c>
      <c r="R487" s="18">
        <f t="shared" si="56"/>
        <v>1688454</v>
      </c>
      <c r="S487" s="374" t="s">
        <v>4976</v>
      </c>
      <c r="AC487" t="s">
        <v>25</v>
      </c>
      <c r="AJ487" s="97">
        <v>207</v>
      </c>
      <c r="AK487" s="97" t="s">
        <v>6590</v>
      </c>
      <c r="AL487" s="131">
        <v>7300000</v>
      </c>
      <c r="AM487" s="97">
        <v>0</v>
      </c>
      <c r="AN487" s="97">
        <f t="shared" si="65"/>
        <v>198</v>
      </c>
      <c r="AO487" s="97">
        <f t="shared" si="66"/>
        <v>1445400000</v>
      </c>
      <c r="AP487" s="97" t="s">
        <v>6592</v>
      </c>
    </row>
    <row r="488" spans="13:48">
      <c r="M488" s="361" t="s">
        <v>6913</v>
      </c>
      <c r="N488" s="1">
        <v>1688454</v>
      </c>
      <c r="O488" s="374" t="s">
        <v>6923</v>
      </c>
      <c r="P488" s="374">
        <v>2150</v>
      </c>
      <c r="Q488" s="18">
        <v>5058.7095879999997</v>
      </c>
      <c r="R488" s="18">
        <f t="shared" si="56"/>
        <v>10876225.6142</v>
      </c>
      <c r="S488" s="374" t="s">
        <v>4976</v>
      </c>
      <c r="AC488" t="s">
        <v>25</v>
      </c>
      <c r="AJ488" s="20">
        <v>208</v>
      </c>
      <c r="AK488" s="20" t="s">
        <v>6590</v>
      </c>
      <c r="AL488" s="37">
        <v>7000000</v>
      </c>
      <c r="AM488" s="20">
        <v>135</v>
      </c>
      <c r="AN488" s="20">
        <f t="shared" si="65"/>
        <v>198</v>
      </c>
      <c r="AO488" s="20">
        <f t="shared" si="66"/>
        <v>1386000000</v>
      </c>
      <c r="AP488" s="20" t="s">
        <v>5625</v>
      </c>
    </row>
    <row r="489" spans="13:48">
      <c r="M489" s="361" t="s">
        <v>6923</v>
      </c>
      <c r="N489" s="1">
        <v>10876225.6142</v>
      </c>
      <c r="O489" s="374" t="s">
        <v>6928</v>
      </c>
      <c r="P489" s="374">
        <v>2468</v>
      </c>
      <c r="Q489" s="18">
        <v>5277.5279049999999</v>
      </c>
      <c r="R489" s="18">
        <f t="shared" si="56"/>
        <v>13024938.86954</v>
      </c>
      <c r="S489" s="374" t="s">
        <v>4976</v>
      </c>
      <c r="AJ489" s="97">
        <v>209</v>
      </c>
      <c r="AK489" s="97" t="s">
        <v>6659</v>
      </c>
      <c r="AL489" s="131">
        <v>-20000000</v>
      </c>
      <c r="AM489" s="97">
        <v>0</v>
      </c>
      <c r="AN489" s="97">
        <f t="shared" si="65"/>
        <v>63</v>
      </c>
      <c r="AO489" s="97">
        <f t="shared" si="66"/>
        <v>-1260000000</v>
      </c>
      <c r="AP489" s="97" t="s">
        <v>6663</v>
      </c>
    </row>
    <row r="490" spans="13:48">
      <c r="M490" s="361" t="s">
        <v>6928</v>
      </c>
      <c r="N490" s="1">
        <v>13024938.86954</v>
      </c>
      <c r="O490" s="374" t="s">
        <v>6929</v>
      </c>
      <c r="P490" s="374">
        <v>3210</v>
      </c>
      <c r="Q490" s="18">
        <v>5271.9779159999998</v>
      </c>
      <c r="R490" s="18">
        <f t="shared" si="56"/>
        <v>16923049.11036</v>
      </c>
      <c r="S490" s="374" t="s">
        <v>4976</v>
      </c>
      <c r="AC490" t="s">
        <v>25</v>
      </c>
      <c r="AD490" t="s">
        <v>25</v>
      </c>
      <c r="AJ490" s="97">
        <v>210</v>
      </c>
      <c r="AK490" s="97" t="s">
        <v>6659</v>
      </c>
      <c r="AL490" s="131">
        <v>-59825035</v>
      </c>
      <c r="AM490" s="97">
        <v>0</v>
      </c>
      <c r="AN490" s="97">
        <f t="shared" si="65"/>
        <v>63</v>
      </c>
      <c r="AO490" s="97">
        <f t="shared" si="66"/>
        <v>-3768977205</v>
      </c>
      <c r="AP490" s="97" t="s">
        <v>5623</v>
      </c>
    </row>
    <row r="491" spans="13:48">
      <c r="M491" s="361" t="s">
        <v>6929</v>
      </c>
      <c r="N491" s="1">
        <v>16923049.11036</v>
      </c>
      <c r="O491" s="374" t="s">
        <v>6931</v>
      </c>
      <c r="P491" s="374">
        <v>637</v>
      </c>
      <c r="Q491" s="18">
        <v>5269.92</v>
      </c>
      <c r="R491" s="18">
        <f t="shared" si="56"/>
        <v>3356939.04</v>
      </c>
      <c r="S491" s="374" t="s">
        <v>4976</v>
      </c>
      <c r="AA491" t="s">
        <v>25</v>
      </c>
      <c r="AB491" t="s">
        <v>25</v>
      </c>
      <c r="AC491" t="s">
        <v>25</v>
      </c>
      <c r="AJ491" s="20">
        <v>211</v>
      </c>
      <c r="AK491" s="20" t="s">
        <v>6659</v>
      </c>
      <c r="AL491" s="37">
        <v>-450269000</v>
      </c>
      <c r="AM491" s="20">
        <v>1</v>
      </c>
      <c r="AN491" s="20">
        <f t="shared" si="65"/>
        <v>63</v>
      </c>
      <c r="AO491" s="20">
        <f t="shared" si="66"/>
        <v>-28366947000</v>
      </c>
      <c r="AP491" s="20" t="s">
        <v>5622</v>
      </c>
      <c r="AU491" t="s">
        <v>25</v>
      </c>
    </row>
    <row r="492" spans="13:48">
      <c r="M492" s="361" t="s">
        <v>6931</v>
      </c>
      <c r="N492" s="1">
        <v>3356939.04</v>
      </c>
      <c r="O492" s="374" t="s">
        <v>6932</v>
      </c>
      <c r="P492" s="374">
        <v>5584</v>
      </c>
      <c r="Q492" s="18">
        <v>5401.777</v>
      </c>
      <c r="R492" s="18">
        <f t="shared" si="56"/>
        <v>30163522.767999999</v>
      </c>
      <c r="S492" s="374" t="s">
        <v>4976</v>
      </c>
      <c r="AJ492" s="20">
        <v>212</v>
      </c>
      <c r="AK492" s="20" t="s">
        <v>6667</v>
      </c>
      <c r="AL492" s="37">
        <v>50000000</v>
      </c>
      <c r="AM492" s="20">
        <v>1</v>
      </c>
      <c r="AN492" s="20">
        <f t="shared" si="65"/>
        <v>62</v>
      </c>
      <c r="AO492" s="20">
        <f t="shared" si="66"/>
        <v>3100000000</v>
      </c>
      <c r="AP492" s="20" t="s">
        <v>5625</v>
      </c>
      <c r="AT492" t="s">
        <v>25</v>
      </c>
      <c r="AU492" t="s">
        <v>25</v>
      </c>
    </row>
    <row r="493" spans="13:48">
      <c r="M493" s="361" t="s">
        <v>6932</v>
      </c>
      <c r="N493" s="1">
        <v>30163522.767999999</v>
      </c>
      <c r="O493" s="374" t="s">
        <v>6933</v>
      </c>
      <c r="P493" s="374">
        <v>4914</v>
      </c>
      <c r="Q493" s="18">
        <v>5310.9320900000002</v>
      </c>
      <c r="R493" s="18">
        <f t="shared" si="56"/>
        <v>26097920.290260002</v>
      </c>
      <c r="S493" s="374" t="s">
        <v>4976</v>
      </c>
      <c r="AB493" t="s">
        <v>25</v>
      </c>
      <c r="AJ493" s="20">
        <v>213</v>
      </c>
      <c r="AK493" s="20" t="s">
        <v>6673</v>
      </c>
      <c r="AL493" s="37">
        <v>50000000</v>
      </c>
      <c r="AM493" s="20">
        <v>1</v>
      </c>
      <c r="AN493" s="20">
        <f t="shared" ref="AN493:AN509" si="67">AM493+AN494</f>
        <v>61</v>
      </c>
      <c r="AO493" s="20">
        <f t="shared" ref="AO493:AO509" si="68">AL493*AN493</f>
        <v>3050000000</v>
      </c>
      <c r="AP493" s="20" t="s">
        <v>5625</v>
      </c>
      <c r="AT493" t="s">
        <v>25</v>
      </c>
      <c r="AU493" t="s">
        <v>25</v>
      </c>
      <c r="AV493" t="s">
        <v>25</v>
      </c>
    </row>
    <row r="494" spans="13:48">
      <c r="M494" s="361" t="s">
        <v>6933</v>
      </c>
      <c r="N494" s="1">
        <v>26097920.290260002</v>
      </c>
      <c r="O494" s="374" t="s">
        <v>6941</v>
      </c>
      <c r="P494" s="374">
        <v>2530</v>
      </c>
      <c r="Q494" s="18">
        <v>5281.4436539999997</v>
      </c>
      <c r="R494" s="18">
        <f t="shared" si="56"/>
        <v>13362052.444619998</v>
      </c>
      <c r="S494" s="374" t="s">
        <v>4976</v>
      </c>
      <c r="AB494" t="s">
        <v>25</v>
      </c>
      <c r="AJ494" s="20">
        <v>214</v>
      </c>
      <c r="AK494" s="20" t="s">
        <v>6674</v>
      </c>
      <c r="AL494" s="37">
        <v>50000000</v>
      </c>
      <c r="AM494" s="20">
        <v>1</v>
      </c>
      <c r="AN494" s="20">
        <f t="shared" si="67"/>
        <v>60</v>
      </c>
      <c r="AO494" s="20">
        <f t="shared" si="68"/>
        <v>3000000000</v>
      </c>
      <c r="AP494" s="20" t="s">
        <v>5625</v>
      </c>
      <c r="AS494" t="s">
        <v>25</v>
      </c>
    </row>
    <row r="495" spans="13:48">
      <c r="M495" s="361" t="s">
        <v>6941</v>
      </c>
      <c r="N495" s="1">
        <v>13362052.444619998</v>
      </c>
      <c r="O495" s="374" t="s">
        <v>6943</v>
      </c>
      <c r="P495" s="374">
        <v>1295</v>
      </c>
      <c r="Q495" s="18">
        <v>5383.64</v>
      </c>
      <c r="R495" s="18">
        <f t="shared" si="56"/>
        <v>6971813.8000000007</v>
      </c>
      <c r="S495" s="374" t="s">
        <v>4976</v>
      </c>
      <c r="U495" t="s">
        <v>25</v>
      </c>
      <c r="AJ495" s="20">
        <v>215</v>
      </c>
      <c r="AK495" s="20" t="s">
        <v>6675</v>
      </c>
      <c r="AL495" s="37">
        <v>50000000</v>
      </c>
      <c r="AM495" s="20">
        <v>1</v>
      </c>
      <c r="AN495" s="20">
        <f t="shared" si="67"/>
        <v>59</v>
      </c>
      <c r="AO495" s="20">
        <f t="shared" si="68"/>
        <v>2950000000</v>
      </c>
      <c r="AP495" s="20" t="s">
        <v>5625</v>
      </c>
    </row>
    <row r="496" spans="13:48">
      <c r="M496" s="361" t="s">
        <v>6943</v>
      </c>
      <c r="N496" s="1">
        <v>6971813.8000000007</v>
      </c>
      <c r="O496" s="374" t="s">
        <v>6967</v>
      </c>
      <c r="P496" s="374">
        <v>1462</v>
      </c>
      <c r="Q496" s="18">
        <v>6093.69</v>
      </c>
      <c r="R496" s="18">
        <f t="shared" si="56"/>
        <v>8908974.7799999993</v>
      </c>
      <c r="S496" s="374" t="s">
        <v>4976</v>
      </c>
      <c r="AD496" t="s">
        <v>25</v>
      </c>
      <c r="AJ496" s="20">
        <v>216</v>
      </c>
      <c r="AK496" s="20" t="s">
        <v>6676</v>
      </c>
      <c r="AL496" s="37">
        <v>100000000</v>
      </c>
      <c r="AM496" s="20">
        <v>1</v>
      </c>
      <c r="AN496" s="20">
        <f t="shared" si="67"/>
        <v>58</v>
      </c>
      <c r="AO496" s="20">
        <f t="shared" si="68"/>
        <v>5800000000</v>
      </c>
      <c r="AP496" s="20" t="s">
        <v>5625</v>
      </c>
    </row>
    <row r="497" spans="13:46">
      <c r="M497" s="361" t="s">
        <v>6967</v>
      </c>
      <c r="N497" s="1">
        <v>8908974.7799999993</v>
      </c>
      <c r="O497" s="374" t="s">
        <v>6979</v>
      </c>
      <c r="P497" s="374">
        <v>120</v>
      </c>
      <c r="Q497" s="18">
        <v>6076</v>
      </c>
      <c r="R497" s="18">
        <f t="shared" si="56"/>
        <v>729120</v>
      </c>
      <c r="S497" s="374" t="s">
        <v>6980</v>
      </c>
      <c r="AC497" t="s">
        <v>25</v>
      </c>
      <c r="AJ497" s="20">
        <v>217</v>
      </c>
      <c r="AK497" s="20" t="s">
        <v>6678</v>
      </c>
      <c r="AL497" s="37">
        <v>50000000</v>
      </c>
      <c r="AM497" s="20">
        <v>1</v>
      </c>
      <c r="AN497" s="20">
        <f t="shared" si="67"/>
        <v>57</v>
      </c>
      <c r="AO497" s="20">
        <f t="shared" si="68"/>
        <v>2850000000</v>
      </c>
      <c r="AP497" s="20" t="s">
        <v>5625</v>
      </c>
    </row>
    <row r="498" spans="13:46">
      <c r="M498" s="361" t="s">
        <v>6979</v>
      </c>
      <c r="N498" s="1">
        <v>-105576576</v>
      </c>
      <c r="O498" s="374" t="s">
        <v>6979</v>
      </c>
      <c r="P498" s="374">
        <v>-17376</v>
      </c>
      <c r="Q498" s="18">
        <v>6076</v>
      </c>
      <c r="R498" s="18">
        <f t="shared" si="56"/>
        <v>-105576576</v>
      </c>
      <c r="S498" s="374" t="s">
        <v>6982</v>
      </c>
      <c r="AA498" t="s">
        <v>25</v>
      </c>
      <c r="AB498" t="s">
        <v>25</v>
      </c>
      <c r="AJ498" s="20">
        <v>218</v>
      </c>
      <c r="AK498" s="20" t="s">
        <v>6680</v>
      </c>
      <c r="AL498" s="37">
        <v>65511600</v>
      </c>
      <c r="AM498" s="20">
        <v>1</v>
      </c>
      <c r="AN498" s="20">
        <f t="shared" si="67"/>
        <v>56</v>
      </c>
      <c r="AO498" s="20">
        <f t="shared" si="68"/>
        <v>3668649600</v>
      </c>
      <c r="AP498" s="20" t="s">
        <v>5625</v>
      </c>
      <c r="AT498" t="s">
        <v>25</v>
      </c>
    </row>
    <row r="499" spans="13:46">
      <c r="M499" s="361"/>
      <c r="N499" s="1"/>
      <c r="O499" s="374" t="s">
        <v>6993</v>
      </c>
      <c r="P499" s="374">
        <v>-804</v>
      </c>
      <c r="Q499" s="18">
        <v>6213</v>
      </c>
      <c r="R499" s="18">
        <f t="shared" si="56"/>
        <v>-4995252</v>
      </c>
      <c r="S499" s="374" t="s">
        <v>6994</v>
      </c>
      <c r="AD499" t="s">
        <v>25</v>
      </c>
      <c r="AJ499" s="20">
        <v>219</v>
      </c>
      <c r="AK499" s="20" t="s">
        <v>6684</v>
      </c>
      <c r="AL499" s="37">
        <v>25000000</v>
      </c>
      <c r="AM499" s="20">
        <v>25</v>
      </c>
      <c r="AN499" s="20">
        <f t="shared" si="67"/>
        <v>55</v>
      </c>
      <c r="AO499" s="20">
        <f t="shared" si="68"/>
        <v>1375000000</v>
      </c>
      <c r="AP499" s="20" t="s">
        <v>5625</v>
      </c>
    </row>
    <row r="500" spans="13:46">
      <c r="M500" s="361"/>
      <c r="N500" s="1"/>
      <c r="O500" s="374"/>
      <c r="P500" s="374"/>
      <c r="Q500" s="18"/>
      <c r="R500" s="18"/>
      <c r="S500" s="374"/>
      <c r="U500" t="s">
        <v>25</v>
      </c>
      <c r="AB500" t="s">
        <v>25</v>
      </c>
      <c r="AJ500" s="97">
        <v>220</v>
      </c>
      <c r="AK500" s="97" t="s">
        <v>6692</v>
      </c>
      <c r="AL500" s="131">
        <v>-15162600</v>
      </c>
      <c r="AM500" s="97">
        <v>7</v>
      </c>
      <c r="AN500" s="20">
        <f t="shared" si="67"/>
        <v>30</v>
      </c>
      <c r="AO500" s="20">
        <f t="shared" si="68"/>
        <v>-454878000</v>
      </c>
      <c r="AP500" s="97" t="s">
        <v>6716</v>
      </c>
      <c r="AR500" t="s">
        <v>25</v>
      </c>
    </row>
    <row r="501" spans="13:46">
      <c r="M501" s="361"/>
      <c r="N501" s="1"/>
      <c r="O501" s="374"/>
      <c r="P501" s="374"/>
      <c r="Q501" s="18"/>
      <c r="R501" s="18"/>
      <c r="S501" s="374"/>
      <c r="U501" t="s">
        <v>25</v>
      </c>
      <c r="AB501" t="s">
        <v>25</v>
      </c>
      <c r="AC501" t="s">
        <v>25</v>
      </c>
      <c r="AD501" t="s">
        <v>25</v>
      </c>
      <c r="AJ501" s="97">
        <v>221</v>
      </c>
      <c r="AK501" s="97" t="s">
        <v>6697</v>
      </c>
      <c r="AL501" s="131">
        <v>-10216551.764954999</v>
      </c>
      <c r="AM501" s="97">
        <v>4</v>
      </c>
      <c r="AN501" s="20">
        <f t="shared" si="67"/>
        <v>23</v>
      </c>
      <c r="AO501" s="20">
        <f t="shared" si="68"/>
        <v>-234980690.59396499</v>
      </c>
      <c r="AP501" s="97" t="s">
        <v>6716</v>
      </c>
    </row>
    <row r="502" spans="13:46">
      <c r="M502" s="361"/>
      <c r="N502" s="1"/>
      <c r="O502" s="374"/>
      <c r="P502" s="374"/>
      <c r="Q502" s="18"/>
      <c r="R502" s="18"/>
      <c r="S502" s="374"/>
      <c r="AJ502" s="97">
        <v>222</v>
      </c>
      <c r="AK502" s="97" t="s">
        <v>6701</v>
      </c>
      <c r="AL502" s="131">
        <v>-5095614.0723999999</v>
      </c>
      <c r="AM502" s="97">
        <v>18</v>
      </c>
      <c r="AN502" s="20">
        <f t="shared" si="67"/>
        <v>19</v>
      </c>
      <c r="AO502" s="20">
        <f t="shared" si="68"/>
        <v>-96816667.375599995</v>
      </c>
      <c r="AP502" s="97" t="s">
        <v>6716</v>
      </c>
    </row>
    <row r="503" spans="13:46">
      <c r="M503" s="361"/>
      <c r="N503" s="1"/>
      <c r="O503" s="374"/>
      <c r="P503" s="374"/>
      <c r="Q503" s="18"/>
      <c r="R503" s="18"/>
      <c r="S503" s="374"/>
      <c r="AJ503" s="97">
        <v>223</v>
      </c>
      <c r="AK503" s="97" t="s">
        <v>6709</v>
      </c>
      <c r="AL503" s="131">
        <v>-5464072.8466919996</v>
      </c>
      <c r="AM503" s="97">
        <v>0</v>
      </c>
      <c r="AN503" s="20">
        <f t="shared" si="67"/>
        <v>1</v>
      </c>
      <c r="AO503" s="20">
        <f t="shared" si="68"/>
        <v>-5464072.8466919996</v>
      </c>
      <c r="AP503" s="97" t="s">
        <v>6169</v>
      </c>
    </row>
    <row r="504" spans="13:46">
      <c r="M504" s="361"/>
      <c r="N504" s="1"/>
      <c r="O504" s="374"/>
      <c r="P504" s="374"/>
      <c r="Q504" s="18"/>
      <c r="R504" s="18"/>
      <c r="S504" s="374"/>
      <c r="AJ504" s="20">
        <v>224</v>
      </c>
      <c r="AK504" s="20" t="s">
        <v>6717</v>
      </c>
      <c r="AL504" s="37">
        <v>-35642178</v>
      </c>
      <c r="AM504" s="20">
        <v>1</v>
      </c>
      <c r="AN504" s="20">
        <f t="shared" si="67"/>
        <v>1</v>
      </c>
      <c r="AO504" s="20">
        <f t="shared" si="68"/>
        <v>-35642178</v>
      </c>
      <c r="AP504" s="20" t="s">
        <v>6712</v>
      </c>
    </row>
    <row r="505" spans="13:46">
      <c r="M505" s="361"/>
      <c r="N505" s="1"/>
      <c r="O505" s="374"/>
      <c r="P505" s="374"/>
      <c r="Q505" s="18"/>
      <c r="R505" s="18">
        <f t="shared" si="34"/>
        <v>0</v>
      </c>
      <c r="S505" s="399"/>
      <c r="AJ505" s="20"/>
      <c r="AK505" s="20"/>
      <c r="AL505" s="37"/>
      <c r="AM505" s="20"/>
      <c r="AN505" s="20">
        <f t="shared" si="67"/>
        <v>0</v>
      </c>
      <c r="AO505" s="20">
        <f t="shared" si="68"/>
        <v>0</v>
      </c>
      <c r="AP505" s="20"/>
    </row>
    <row r="506" spans="13:46">
      <c r="M506" s="361"/>
      <c r="N506" s="1"/>
      <c r="O506" s="361"/>
      <c r="P506" s="361"/>
      <c r="Q506" s="1"/>
      <c r="R506" s="18">
        <f t="shared" si="34"/>
        <v>0</v>
      </c>
      <c r="S506" s="361"/>
      <c r="AA506" t="s">
        <v>25</v>
      </c>
      <c r="AJ506" s="20"/>
      <c r="AK506" s="20"/>
      <c r="AL506" s="37"/>
      <c r="AM506" s="20"/>
      <c r="AN506" s="20">
        <f t="shared" si="67"/>
        <v>0</v>
      </c>
      <c r="AO506" s="20">
        <f t="shared" si="68"/>
        <v>0</v>
      </c>
      <c r="AP506" s="20"/>
    </row>
    <row r="507" spans="13:46">
      <c r="M507" s="361" t="s">
        <v>25</v>
      </c>
      <c r="N507" s="361" t="s">
        <v>25</v>
      </c>
      <c r="O507" s="361"/>
      <c r="P507" s="361">
        <f>SUM(P19:P506)</f>
        <v>4598958</v>
      </c>
      <c r="Q507" s="361"/>
      <c r="R507" s="361"/>
      <c r="S507" s="361"/>
      <c r="AC507" t="s">
        <v>25</v>
      </c>
      <c r="AJ507" s="20"/>
      <c r="AK507" s="20"/>
      <c r="AL507" s="37"/>
      <c r="AM507" s="20"/>
      <c r="AN507" s="20">
        <f t="shared" si="67"/>
        <v>0</v>
      </c>
      <c r="AO507" s="20">
        <f t="shared" si="68"/>
        <v>0</v>
      </c>
      <c r="AP507" s="20"/>
    </row>
    <row r="508" spans="13:46">
      <c r="M508" s="361"/>
      <c r="N508" s="1">
        <f>SUM(N161:N507)</f>
        <v>1977530664.3432021</v>
      </c>
      <c r="O508" s="361"/>
      <c r="P508" s="361" t="s">
        <v>6</v>
      </c>
      <c r="Q508" s="361"/>
      <c r="R508" s="361"/>
      <c r="S508" s="361"/>
      <c r="AB508" t="s">
        <v>25</v>
      </c>
      <c r="AC508" t="s">
        <v>25</v>
      </c>
      <c r="AJ508" s="20"/>
      <c r="AK508" s="20"/>
      <c r="AL508" s="37"/>
      <c r="AM508" s="20"/>
      <c r="AN508" s="20">
        <f t="shared" si="67"/>
        <v>0</v>
      </c>
      <c r="AO508" s="20">
        <f t="shared" si="68"/>
        <v>0</v>
      </c>
      <c r="AP508" s="20"/>
    </row>
    <row r="509" spans="13:46">
      <c r="M509" s="35"/>
      <c r="N509" s="361" t="s">
        <v>6</v>
      </c>
      <c r="O509" s="397" t="s">
        <v>4340</v>
      </c>
      <c r="P509" s="35"/>
      <c r="Q509" s="35"/>
      <c r="R509" s="35"/>
      <c r="S509" s="35"/>
      <c r="AB509" t="s">
        <v>25</v>
      </c>
      <c r="AJ509" s="11"/>
      <c r="AK509" s="11"/>
      <c r="AL509" s="37"/>
      <c r="AM509" s="11"/>
      <c r="AN509" s="20">
        <f t="shared" si="67"/>
        <v>0</v>
      </c>
      <c r="AO509" s="20">
        <f t="shared" si="68"/>
        <v>0</v>
      </c>
      <c r="AP509" s="20"/>
    </row>
    <row r="510" spans="13:46">
      <c r="O510" s="143">
        <f>H17/P507</f>
        <v>6376.6133108847698</v>
      </c>
      <c r="P510" s="35"/>
      <c r="Q510" s="35"/>
      <c r="R510" s="35"/>
      <c r="S510" s="35" t="s">
        <v>25</v>
      </c>
      <c r="AB510" t="s">
        <v>25</v>
      </c>
      <c r="AJ510" s="11"/>
      <c r="AK510" s="11"/>
      <c r="AL510" s="37"/>
      <c r="AM510" s="11"/>
      <c r="AN510" s="20">
        <f>AM510+AN511</f>
        <v>0</v>
      </c>
      <c r="AO510" s="20">
        <f>AL510*AN510</f>
        <v>0</v>
      </c>
      <c r="AP510" s="11"/>
    </row>
    <row r="511" spans="13:46">
      <c r="O511" s="35"/>
      <c r="P511" s="35"/>
      <c r="Q511" s="35"/>
      <c r="R511" s="76"/>
      <c r="S511" s="35"/>
      <c r="AJ511" s="11"/>
      <c r="AK511" s="11"/>
      <c r="AL511" s="26">
        <f>SUM(AL299:AL510)</f>
        <v>60011936.164180979</v>
      </c>
      <c r="AM511" s="11"/>
      <c r="AN511" s="11"/>
      <c r="AO511" s="11">
        <f>SUM(AO299:AO510)</f>
        <v>194101499872.18375</v>
      </c>
      <c r="AP511" s="26">
        <f>AO511*AP285/31</f>
        <v>104357732.20547377</v>
      </c>
    </row>
    <row r="512" spans="13:46">
      <c r="O512" s="35"/>
      <c r="P512" s="35" t="s">
        <v>267</v>
      </c>
      <c r="Q512" s="35" t="s">
        <v>4341</v>
      </c>
      <c r="R512" s="35"/>
      <c r="S512" s="35" t="s">
        <v>25</v>
      </c>
      <c r="AL512" t="s">
        <v>3972</v>
      </c>
      <c r="AO512" t="s">
        <v>284</v>
      </c>
      <c r="AP512" t="s">
        <v>863</v>
      </c>
    </row>
    <row r="513" spans="13:42">
      <c r="O513" s="76"/>
      <c r="P513" s="1">
        <v>-5000000</v>
      </c>
      <c r="Q513" s="35">
        <f>P513/O510</f>
        <v>-784.11529070848405</v>
      </c>
      <c r="R513" s="35"/>
      <c r="S513" s="35" t="s">
        <v>25</v>
      </c>
    </row>
    <row r="514" spans="13:42">
      <c r="O514" s="35" t="s">
        <v>25</v>
      </c>
      <c r="P514" s="35"/>
      <c r="Q514" s="35"/>
      <c r="R514" s="35"/>
      <c r="S514" s="35" t="s">
        <v>25</v>
      </c>
      <c r="AK514" t="s">
        <v>3974</v>
      </c>
      <c r="AL514" s="7">
        <f>AL511+AP511</f>
        <v>164369668.36965474</v>
      </c>
      <c r="AO514" t="s">
        <v>25</v>
      </c>
    </row>
    <row r="515" spans="13:42">
      <c r="M515" t="s">
        <v>25</v>
      </c>
      <c r="O515" t="s">
        <v>25</v>
      </c>
      <c r="P515" t="s">
        <v>25</v>
      </c>
      <c r="Q515" s="22"/>
      <c r="R515" s="149"/>
      <c r="S515" s="196" t="s">
        <v>25</v>
      </c>
      <c r="AB515" t="s">
        <v>25</v>
      </c>
      <c r="AK515" t="s">
        <v>3977</v>
      </c>
      <c r="AL515" s="7">
        <f>SUM(B18:B34)</f>
        <v>10113530815</v>
      </c>
    </row>
    <row r="516" spans="13:42">
      <c r="O516" t="s">
        <v>25</v>
      </c>
      <c r="R516" t="s">
        <v>25</v>
      </c>
      <c r="S516" t="s">
        <v>25</v>
      </c>
      <c r="AB516" t="s">
        <v>25</v>
      </c>
      <c r="AK516" t="s">
        <v>4037</v>
      </c>
      <c r="AL516" s="7">
        <f>AL515-AL511</f>
        <v>10053518878.835819</v>
      </c>
    </row>
    <row r="517" spans="13:42">
      <c r="M517" t="s">
        <v>25</v>
      </c>
      <c r="O517" t="s">
        <v>25</v>
      </c>
      <c r="R517" s="7"/>
      <c r="S517" s="7" t="s">
        <v>25</v>
      </c>
      <c r="AB517" t="s">
        <v>25</v>
      </c>
      <c r="AK517" t="s">
        <v>863</v>
      </c>
      <c r="AL517" s="7">
        <f>AP511</f>
        <v>104357732.20547377</v>
      </c>
    </row>
    <row r="518" spans="13:42">
      <c r="O518" s="22"/>
      <c r="Q518" s="149"/>
      <c r="AB518" t="s">
        <v>25</v>
      </c>
      <c r="AC518" t="s">
        <v>25</v>
      </c>
      <c r="AK518" t="s">
        <v>3978</v>
      </c>
      <c r="AL518" s="7">
        <f>AL516-AL517</f>
        <v>9949161146.6303463</v>
      </c>
      <c r="AO518" t="s">
        <v>25</v>
      </c>
      <c r="AP518" t="s">
        <v>25</v>
      </c>
    </row>
    <row r="519" spans="13:42">
      <c r="O519" s="22"/>
      <c r="R519" s="196"/>
      <c r="S519" t="s">
        <v>25</v>
      </c>
      <c r="AN519" t="s">
        <v>25</v>
      </c>
      <c r="AO519" t="s">
        <v>25</v>
      </c>
      <c r="AP519" t="s">
        <v>25</v>
      </c>
    </row>
    <row r="520" spans="13:42">
      <c r="O520"/>
    </row>
    <row r="521" spans="13:42">
      <c r="O521"/>
    </row>
    <row r="522" spans="13:42">
      <c r="O522" s="11" t="s">
        <v>4342</v>
      </c>
      <c r="P522" s="11" t="s">
        <v>4324</v>
      </c>
      <c r="Q522" s="11" t="s">
        <v>873</v>
      </c>
      <c r="V522" s="7" t="s">
        <v>25</v>
      </c>
      <c r="AP522" t="s">
        <v>25</v>
      </c>
    </row>
    <row r="523" spans="13:42">
      <c r="O523" s="26">
        <f>N78+N156+N508</f>
        <v>2093516729.5185392</v>
      </c>
      <c r="P523" s="26">
        <f>H17</f>
        <v>29325776799</v>
      </c>
      <c r="Q523" s="26">
        <f>P523-O523</f>
        <v>27232260069.481461</v>
      </c>
      <c r="V523" t="s">
        <v>25</v>
      </c>
      <c r="AP523" t="s">
        <v>25</v>
      </c>
    </row>
    <row r="524" spans="13:42">
      <c r="O524"/>
      <c r="R524" t="s">
        <v>25</v>
      </c>
      <c r="T524" t="s">
        <v>25</v>
      </c>
    </row>
    <row r="525" spans="13:42">
      <c r="O525"/>
      <c r="Q525">
        <v>193</v>
      </c>
      <c r="T525" t="s">
        <v>25</v>
      </c>
    </row>
    <row r="526" spans="13:42">
      <c r="O526" t="s">
        <v>5282</v>
      </c>
      <c r="P526">
        <v>353427</v>
      </c>
      <c r="Q526" s="7">
        <f>P526*$Q$525</f>
        <v>68211411</v>
      </c>
      <c r="T526" t="s">
        <v>25</v>
      </c>
      <c r="AB526" t="s">
        <v>25</v>
      </c>
    </row>
    <row r="527" spans="13:42">
      <c r="O527" t="s">
        <v>6637</v>
      </c>
      <c r="P527">
        <v>2333000</v>
      </c>
      <c r="Q527" s="7">
        <f>P527*$Q$525</f>
        <v>450269000</v>
      </c>
      <c r="AB527" t="s">
        <v>25</v>
      </c>
    </row>
    <row r="528" spans="13:42">
      <c r="O528" s="301" t="s">
        <v>1005</v>
      </c>
      <c r="P528" s="301">
        <v>309975</v>
      </c>
      <c r="Q528" s="302">
        <f>P528*$Q$525</f>
        <v>59825175</v>
      </c>
      <c r="T528" t="s">
        <v>25</v>
      </c>
      <c r="AC528" t="s">
        <v>25</v>
      </c>
    </row>
    <row r="529" spans="15:28">
      <c r="O529" t="s">
        <v>422</v>
      </c>
      <c r="P529">
        <v>2914000</v>
      </c>
      <c r="Q529" s="7">
        <f>P529*$Q$525</f>
        <v>562402000</v>
      </c>
    </row>
    <row r="530" spans="15:28">
      <c r="AB530" t="s">
        <v>25</v>
      </c>
    </row>
    <row r="531" spans="15:28">
      <c r="S531" t="s">
        <v>25</v>
      </c>
    </row>
    <row r="532" spans="15:28">
      <c r="S532" t="s">
        <v>25</v>
      </c>
    </row>
    <row r="533" spans="15:28">
      <c r="S533" t="s">
        <v>25</v>
      </c>
    </row>
    <row r="534" spans="15:28">
      <c r="S534" t="s">
        <v>25</v>
      </c>
    </row>
    <row r="535" spans="15:28">
      <c r="S535" s="7"/>
    </row>
    <row r="536" spans="15:28">
      <c r="S536" t="s">
        <v>25</v>
      </c>
    </row>
    <row r="537" spans="15:28">
      <c r="AB537" t="s">
        <v>25</v>
      </c>
    </row>
    <row r="538" spans="15:28">
      <c r="AB538" t="s">
        <v>25</v>
      </c>
    </row>
    <row r="541" spans="15:28">
      <c r="AB541"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17:28">
      <c r="AB578" t="s">
        <v>25</v>
      </c>
    </row>
    <row r="584" spans="17:28">
      <c r="AB584" t="s">
        <v>25</v>
      </c>
    </row>
    <row r="587" spans="17:28">
      <c r="AB587" t="s">
        <v>25</v>
      </c>
    </row>
    <row r="589" spans="17:28">
      <c r="AB589" t="s">
        <v>25</v>
      </c>
    </row>
    <row r="592" spans="17:28">
      <c r="Q592" t="s">
        <v>25</v>
      </c>
      <c r="AB592" t="s">
        <v>25</v>
      </c>
    </row>
    <row r="594" spans="16:29">
      <c r="AB594" t="s">
        <v>25</v>
      </c>
      <c r="AC594" t="s">
        <v>25</v>
      </c>
    </row>
    <row r="598" spans="16:29">
      <c r="AC598" t="s">
        <v>25</v>
      </c>
    </row>
    <row r="599" spans="16:29">
      <c r="AB599" t="s">
        <v>25</v>
      </c>
    </row>
    <row r="604" spans="16:29">
      <c r="P604" s="7"/>
    </row>
    <row r="611" spans="28:28">
      <c r="AB611" t="s">
        <v>25</v>
      </c>
    </row>
    <row r="612" spans="28:28">
      <c r="AB612" t="s">
        <v>25</v>
      </c>
    </row>
    <row r="613" spans="28:28">
      <c r="AB613" t="s">
        <v>25</v>
      </c>
    </row>
    <row r="619" spans="28:28">
      <c r="AB619" t="s">
        <v>25</v>
      </c>
    </row>
    <row r="622" spans="28: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Q677" t="s">
        <v>25</v>
      </c>
      <c r="V677" t="s">
        <v>25</v>
      </c>
      <c r="Y677" t="s">
        <v>25</v>
      </c>
    </row>
    <row r="678" spans="17:26">
      <c r="Z678" t="s">
        <v>25</v>
      </c>
    </row>
    <row r="679" spans="17:26">
      <c r="X679" t="s">
        <v>25</v>
      </c>
    </row>
    <row r="681" spans="17:26">
      <c r="Q681" t="s">
        <v>25</v>
      </c>
      <c r="V681" t="s">
        <v>25</v>
      </c>
      <c r="W681" t="s">
        <v>25</v>
      </c>
    </row>
    <row r="682" spans="17:26">
      <c r="V682" t="s">
        <v>25</v>
      </c>
    </row>
    <row r="684" spans="17:26">
      <c r="R684" t="s">
        <v>25</v>
      </c>
    </row>
    <row r="685" spans="17:26">
      <c r="Q685" t="s">
        <v>25</v>
      </c>
    </row>
    <row r="686" spans="17:26">
      <c r="S686" t="s">
        <v>25</v>
      </c>
    </row>
    <row r="687" spans="17:26">
      <c r="Z687" t="s">
        <v>25</v>
      </c>
    </row>
    <row r="693" spans="23:25">
      <c r="Y693" s="7"/>
    </row>
    <row r="697" spans="23:25">
      <c r="W697" s="7"/>
    </row>
  </sheetData>
  <conditionalFormatting sqref="G316:G1048576 G68:G81">
    <cfRule type="cellIs" dxfId="56"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K282"/>
  <sheetViews>
    <sheetView tabSelected="1" topLeftCell="A106" zoomScale="85" zoomScaleNormal="85" workbookViewId="0">
      <selection activeCell="A136" sqref="A136:R136"/>
    </sheetView>
  </sheetViews>
  <sheetFormatPr defaultRowHeight="15"/>
  <cols>
    <col min="1" max="1" width="12.5703125" customWidth="1"/>
    <col min="2" max="2" width="11.85546875" customWidth="1"/>
    <col min="3" max="3" width="17.85546875" bestFit="1" customWidth="1"/>
    <col min="4" max="4" width="17.42578125" bestFit="1" customWidth="1"/>
    <col min="5" max="6" width="14" customWidth="1"/>
    <col min="7" max="7" width="17.140625" customWidth="1"/>
    <col min="8" max="8" width="18.5703125" bestFit="1" customWidth="1"/>
    <col min="9" max="9" width="17.28515625" bestFit="1" customWidth="1"/>
    <col min="10" max="10" width="20.5703125" bestFit="1" customWidth="1"/>
    <col min="11" max="11" width="19.140625" bestFit="1" customWidth="1"/>
    <col min="12" max="12" width="15.42578125" bestFit="1" customWidth="1"/>
    <col min="13" max="13" width="17.28515625" bestFit="1" customWidth="1"/>
    <col min="14" max="14" width="22.7109375" bestFit="1" customWidth="1"/>
    <col min="15" max="15" width="32.85546875" bestFit="1" customWidth="1"/>
    <col min="16" max="16" width="25.28515625" bestFit="1" customWidth="1"/>
    <col min="17" max="17" width="27" customWidth="1"/>
    <col min="18" max="18" width="29.7109375" customWidth="1"/>
    <col min="19" max="19" width="20.140625" bestFit="1" customWidth="1"/>
    <col min="20" max="20" width="23.5703125" bestFit="1" customWidth="1"/>
    <col min="21" max="21" width="20.140625" bestFit="1" customWidth="1"/>
    <col min="22" max="22" width="18.28515625"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3" ht="15.75">
      <c r="A1" s="230" t="s">
        <v>6049</v>
      </c>
      <c r="B1" s="225" t="s">
        <v>4134</v>
      </c>
      <c r="C1" s="224">
        <f>1061.52991980259/(1+$P$3)</f>
        <v>976.79502470965224</v>
      </c>
      <c r="D1" s="303">
        <f>13473.143557423*(1+$P$3)</f>
        <v>14641.910163548657</v>
      </c>
      <c r="E1" s="227" t="s">
        <v>5140</v>
      </c>
      <c r="F1" s="226">
        <v>395.26</v>
      </c>
      <c r="G1" s="300">
        <f>C1*D1*0.99114/(F1*1.0037158)</f>
        <v>35730.784642819141</v>
      </c>
      <c r="H1" s="227">
        <f t="shared" ref="H1:H8" si="0">C1/F1</f>
        <v>2.4712721365927548</v>
      </c>
      <c r="I1" s="228">
        <f>$O$54/$O$55</f>
        <v>2.7558494404883009</v>
      </c>
      <c r="J1" s="229">
        <f t="shared" ref="J1:J12" si="1">I1/H1</f>
        <v>1.1151541749213847</v>
      </c>
      <c r="K1" s="229">
        <f t="shared" ref="K1:K12" si="2">(1/J1-1.0256)*100</f>
        <v>-12.886300839029975</v>
      </c>
      <c r="L1" s="229"/>
      <c r="M1" s="35">
        <v>35731</v>
      </c>
      <c r="O1" t="s">
        <v>6983</v>
      </c>
      <c r="P1">
        <v>235</v>
      </c>
    </row>
    <row r="2" spans="1:23" ht="15.75">
      <c r="A2" s="230" t="s">
        <v>6050</v>
      </c>
      <c r="B2" s="225" t="s">
        <v>4134</v>
      </c>
      <c r="C2" s="224">
        <f>1079.14867365824/(1+$P$3)</f>
        <v>993.00739026500423</v>
      </c>
      <c r="D2" s="303">
        <f>61368.6988795518*(1+$P$3)</f>
        <v>66692.303248948141</v>
      </c>
      <c r="E2" s="227" t="s">
        <v>5140</v>
      </c>
      <c r="F2" s="226">
        <v>398.11200000000002</v>
      </c>
      <c r="G2" s="300">
        <f t="shared" ref="G2:G10" si="3">C2*D2*0.99114/(F2*1.0037158)</f>
        <v>164265.8069191477</v>
      </c>
      <c r="H2" s="227">
        <f t="shared" si="0"/>
        <v>2.4942915316920971</v>
      </c>
      <c r="I2" s="228">
        <f>$O$54/$O$55</f>
        <v>2.7558494404883009</v>
      </c>
      <c r="J2" s="229">
        <f t="shared" si="1"/>
        <v>1.1048626054624682</v>
      </c>
      <c r="K2" s="229">
        <f t="shared" si="2"/>
        <v>-12.051008650670669</v>
      </c>
      <c r="L2" s="229"/>
      <c r="M2" s="35"/>
      <c r="O2" t="s">
        <v>4163</v>
      </c>
      <c r="P2">
        <f>O54</f>
        <v>2709</v>
      </c>
      <c r="R2" s="7"/>
    </row>
    <row r="3" spans="1:23" ht="15.75">
      <c r="A3" s="230" t="s">
        <v>6051</v>
      </c>
      <c r="B3" s="225" t="s">
        <v>4134</v>
      </c>
      <c r="C3" s="224">
        <f>1144.51425046268/(1+$P$3)</f>
        <v>1053.1552664753397</v>
      </c>
      <c r="D3" s="303">
        <f>11657*(1+$P$3)</f>
        <v>12668.220007382799</v>
      </c>
      <c r="E3" s="227" t="s">
        <v>5140</v>
      </c>
      <c r="F3" s="226">
        <v>413.13</v>
      </c>
      <c r="G3" s="300">
        <f>C3*D3*0.99114/(F3*1.0037158)</f>
        <v>31889.338526098949</v>
      </c>
      <c r="H3" s="227">
        <f t="shared" si="0"/>
        <v>2.5492103368802548</v>
      </c>
      <c r="I3" s="228">
        <f>$O$54/$O$55</f>
        <v>2.7558494404883009</v>
      </c>
      <c r="J3" s="229">
        <f t="shared" si="1"/>
        <v>1.0810600446022562</v>
      </c>
      <c r="K3" s="229">
        <f t="shared" si="2"/>
        <v>-10.058200031255426</v>
      </c>
      <c r="L3" s="229"/>
      <c r="M3" s="35"/>
      <c r="N3" s="35"/>
      <c r="O3" t="s">
        <v>6984</v>
      </c>
      <c r="P3">
        <f>P1/P2</f>
        <v>8.674787744555186E-2</v>
      </c>
    </row>
    <row r="4" spans="1:23" ht="15.75">
      <c r="A4" s="230" t="s">
        <v>6051</v>
      </c>
      <c r="B4" s="225" t="s">
        <v>4134</v>
      </c>
      <c r="C4" s="224">
        <f>1144.51425046268/(1+$P$3)</f>
        <v>1053.1552664753397</v>
      </c>
      <c r="D4" s="303">
        <f>175407*(1+$P$3)</f>
        <v>190623.18493909191</v>
      </c>
      <c r="E4" s="227" t="s">
        <v>5140</v>
      </c>
      <c r="F4" s="226">
        <v>416.31299999999999</v>
      </c>
      <c r="G4" s="300">
        <f>C4*D4*0.99114/(F4*1.0037158)</f>
        <v>476181.36503496981</v>
      </c>
      <c r="H4" s="227">
        <f>C4/F4</f>
        <v>2.5297198657628748</v>
      </c>
      <c r="I4" s="228">
        <f>$O$54/$O$55</f>
        <v>2.7558494404883009</v>
      </c>
      <c r="J4" s="229">
        <f>I4/H4</f>
        <v>1.0893891761636751</v>
      </c>
      <c r="K4" s="229">
        <f>(1/J4-1.0256)*100</f>
        <v>-10.765440086935929</v>
      </c>
      <c r="L4" s="229"/>
      <c r="M4" s="35"/>
    </row>
    <row r="5" spans="1:23" ht="15.75">
      <c r="A5" s="230" t="s">
        <v>6051</v>
      </c>
      <c r="B5" s="225" t="s">
        <v>4134</v>
      </c>
      <c r="C5" s="224">
        <f>1151.38556446638/(1+$P$3)</f>
        <v>1059.4780890419236</v>
      </c>
      <c r="D5" s="303">
        <f>138014*(1+$P$3)</f>
        <v>149986.4215577704</v>
      </c>
      <c r="E5" s="227" t="s">
        <v>5140</v>
      </c>
      <c r="F5" s="226">
        <v>410.572</v>
      </c>
      <c r="G5" s="300">
        <f t="shared" si="3"/>
        <v>382189.57611163205</v>
      </c>
      <c r="H5" s="227">
        <f t="shared" si="0"/>
        <v>2.5804927979548618</v>
      </c>
      <c r="I5" s="228">
        <f>$O$54/$O$55</f>
        <v>2.7558494404883009</v>
      </c>
      <c r="J5" s="229">
        <f t="shared" si="1"/>
        <v>1.0679547110817034</v>
      </c>
      <c r="K5" s="229">
        <f t="shared" si="2"/>
        <v>-8.9230704913388905</v>
      </c>
      <c r="L5" s="229"/>
      <c r="M5" s="35"/>
    </row>
    <row r="6" spans="1:23" ht="15.75">
      <c r="A6" s="230" t="s">
        <v>6051</v>
      </c>
      <c r="B6" s="225" t="s">
        <v>4134</v>
      </c>
      <c r="C6" s="224">
        <f>1151.38556446638/(1+$P$3)</f>
        <v>1059.4780890419236</v>
      </c>
      <c r="D6" s="303">
        <f>117504*(1+$P$3)</f>
        <v>127697.22259136214</v>
      </c>
      <c r="E6" s="227" t="s">
        <v>5140</v>
      </c>
      <c r="F6" s="226">
        <v>411.67399999999998</v>
      </c>
      <c r="G6" s="300">
        <f>C6*D6*0.99114/(F6*1.0037158)</f>
        <v>324522.06790074398</v>
      </c>
      <c r="H6" s="227">
        <f>C6/F6</f>
        <v>2.5735851402855747</v>
      </c>
      <c r="I6" s="228">
        <f>$O$54/$O$55</f>
        <v>2.7558494404883009</v>
      </c>
      <c r="J6" s="229">
        <f>I6/H6</f>
        <v>1.0708211659096312</v>
      </c>
      <c r="K6" s="229">
        <f>(1/J6-1.0256)*100</f>
        <v>-9.1737248836943444</v>
      </c>
      <c r="L6" s="229"/>
      <c r="M6" s="35"/>
    </row>
    <row r="7" spans="1:23" ht="15.75">
      <c r="A7" s="230" t="s">
        <v>892</v>
      </c>
      <c r="B7" s="225" t="s">
        <v>4134</v>
      </c>
      <c r="C7" s="224">
        <f>1344.31091918569/(1+$P$3)</f>
        <v>1237.0034918729734</v>
      </c>
      <c r="D7" s="303">
        <f>10108*(1+$P$3)</f>
        <v>10984.847545219638</v>
      </c>
      <c r="E7" s="227" t="s">
        <v>5140</v>
      </c>
      <c r="F7" s="226">
        <v>479.9</v>
      </c>
      <c r="G7" s="300">
        <f>C7*D7*0.99114/(F7*1.0037158)</f>
        <v>27960.082751884482</v>
      </c>
      <c r="H7" s="227">
        <f>C7/F7</f>
        <v>2.5776276138215741</v>
      </c>
      <c r="I7" s="228">
        <f>$O$54/$O$55</f>
        <v>2.7558494404883009</v>
      </c>
      <c r="J7" s="229">
        <f>I7/H7</f>
        <v>1.0691418053217145</v>
      </c>
      <c r="K7" s="229">
        <f>(1/J7-1.0256)*100</f>
        <v>-9.0270378594829346</v>
      </c>
      <c r="L7" s="229"/>
      <c r="M7" s="35"/>
      <c r="N7" s="347"/>
      <c r="O7" s="347"/>
      <c r="S7" t="s">
        <v>6610</v>
      </c>
    </row>
    <row r="8" spans="1:23" ht="18.75">
      <c r="A8" s="230" t="s">
        <v>6468</v>
      </c>
      <c r="B8" s="225" t="s">
        <v>4134</v>
      </c>
      <c r="C8" s="224">
        <f>1294.97840838988/(1+$P$3)</f>
        <v>1191.6088683179976</v>
      </c>
      <c r="D8" s="303">
        <f>9478*(1+$P$3)</f>
        <v>10300.196382428941</v>
      </c>
      <c r="E8" s="227" t="s">
        <v>5140</v>
      </c>
      <c r="F8" s="226">
        <v>460.82</v>
      </c>
      <c r="G8" s="300">
        <f t="shared" si="3"/>
        <v>26300.993565030618</v>
      </c>
      <c r="H8" s="236">
        <f t="shared" si="0"/>
        <v>2.5858445126470153</v>
      </c>
      <c r="I8" s="228">
        <f>$O$54/$O$55</f>
        <v>2.7558494404883009</v>
      </c>
      <c r="J8" s="229">
        <f t="shared" si="1"/>
        <v>1.0657444509945646</v>
      </c>
      <c r="K8" s="229">
        <f t="shared" si="2"/>
        <v>-8.7288757500178615</v>
      </c>
      <c r="L8" s="229"/>
      <c r="M8" s="35"/>
      <c r="N8" s="347"/>
      <c r="O8" s="347"/>
      <c r="W8" t="s">
        <v>25</v>
      </c>
    </row>
    <row r="9" spans="1:23" ht="18.75">
      <c r="A9" s="230" t="s">
        <v>6468</v>
      </c>
      <c r="B9" s="225" t="s">
        <v>4134</v>
      </c>
      <c r="C9" s="224">
        <f>1294.97840838988/(1+$P$3)</f>
        <v>1191.6088683179976</v>
      </c>
      <c r="D9" s="303">
        <f>102867*(1+$P$3)</f>
        <v>111790.49390919159</v>
      </c>
      <c r="E9" s="227" t="s">
        <v>5140</v>
      </c>
      <c r="F9" s="226">
        <v>456.8</v>
      </c>
      <c r="G9" s="300">
        <f>C9*D9*0.99114/(F9*1.0037158)</f>
        <v>287963.03973155882</v>
      </c>
      <c r="H9" s="236">
        <f t="shared" ref="H9:H14" si="4">C9/F9</f>
        <v>2.6086008500831821</v>
      </c>
      <c r="I9" s="228">
        <f>$O$54/$O$55</f>
        <v>2.7558494404883009</v>
      </c>
      <c r="J9" s="229">
        <f>I9/H9</f>
        <v>1.0564473443303615</v>
      </c>
      <c r="K9" s="229">
        <f>(1/J9-1.0256)*100</f>
        <v>-7.9031289910753806</v>
      </c>
      <c r="L9" s="229"/>
      <c r="M9" s="35"/>
    </row>
    <row r="10" spans="1:23" ht="18.75">
      <c r="A10" s="230" t="s">
        <v>6473</v>
      </c>
      <c r="B10" s="225" t="s">
        <v>4134</v>
      </c>
      <c r="C10" s="224">
        <f>1300.77497840839/(1+$P$3)</f>
        <v>1196.9427365857096</v>
      </c>
      <c r="D10" s="303">
        <f>10777*(1+$P$3)</f>
        <v>11711.881875230712</v>
      </c>
      <c r="E10" s="227" t="s">
        <v>5140</v>
      </c>
      <c r="F10" s="226">
        <v>452.07955120213717</v>
      </c>
      <c r="G10" s="300">
        <f t="shared" si="3"/>
        <v>30620.29968600093</v>
      </c>
      <c r="H10" s="236">
        <f t="shared" si="4"/>
        <v>2.6476374200135488</v>
      </c>
      <c r="I10" s="228">
        <f>$O$54/$O$55</f>
        <v>2.7558494404883009</v>
      </c>
      <c r="J10" s="229">
        <f t="shared" si="1"/>
        <v>1.0408711629684544</v>
      </c>
      <c r="K10" s="229">
        <f t="shared" si="2"/>
        <v>-6.4866303479764191</v>
      </c>
      <c r="L10" s="229"/>
      <c r="M10" s="35"/>
      <c r="O10" s="362" t="s">
        <v>6801</v>
      </c>
    </row>
    <row r="11" spans="1:23" ht="18.75">
      <c r="A11" s="230" t="s">
        <v>6473</v>
      </c>
      <c r="B11" s="225" t="s">
        <v>4134</v>
      </c>
      <c r="C11" s="224">
        <f>1300.77497840839/(1+$P$3)</f>
        <v>1196.9427365857096</v>
      </c>
      <c r="D11" s="303">
        <f>118026*(1+$P$3)</f>
        <v>128264.5049833887</v>
      </c>
      <c r="E11" s="227" t="s">
        <v>5140</v>
      </c>
      <c r="F11" s="226">
        <v>455.26299999999998</v>
      </c>
      <c r="G11" s="300">
        <f>C11*D11*0.99114/(F11*1.0037158)</f>
        <v>332998.09580154397</v>
      </c>
      <c r="H11" s="236">
        <f t="shared" si="4"/>
        <v>2.6291236858380973</v>
      </c>
      <c r="I11" s="228">
        <f>$O$54/$O$55</f>
        <v>2.7558494404883009</v>
      </c>
      <c r="J11" s="229">
        <f>I11/H11</f>
        <v>1.0482007580445218</v>
      </c>
      <c r="K11" s="229">
        <f>(1/J11-1.0256)*100</f>
        <v>-7.1584280849446458</v>
      </c>
      <c r="L11" s="229"/>
      <c r="M11" s="35"/>
    </row>
    <row r="12" spans="1:23" ht="18.75">
      <c r="A12" s="230" t="s">
        <v>6657</v>
      </c>
      <c r="B12" s="225" t="s">
        <v>4134</v>
      </c>
      <c r="C12" s="224">
        <f>1369/(1+$P$3)</f>
        <v>1259.7218070652173</v>
      </c>
      <c r="D12" s="303">
        <f>53130*(1+$P$3)</f>
        <v>57738.914728682175</v>
      </c>
      <c r="E12" s="227" t="s">
        <v>5140</v>
      </c>
      <c r="F12" s="226">
        <v>471.21499999999997</v>
      </c>
      <c r="G12" s="300">
        <f>C12*D12*0.9912/(F12*1.003631981)</f>
        <v>152444.21873592964</v>
      </c>
      <c r="H12" s="236">
        <f t="shared" si="4"/>
        <v>2.6733482742807793</v>
      </c>
      <c r="I12" s="228">
        <f>$O$54/$O$55</f>
        <v>2.7558494404883009</v>
      </c>
      <c r="J12" s="229">
        <f t="shared" si="1"/>
        <v>1.0308606128880522</v>
      </c>
      <c r="K12" s="229">
        <f t="shared" si="2"/>
        <v>-5.5536746541895106</v>
      </c>
      <c r="L12" s="229"/>
      <c r="M12" s="35" t="s">
        <v>6985</v>
      </c>
    </row>
    <row r="13" spans="1:23" ht="18.75">
      <c r="A13" s="230" t="s">
        <v>6658</v>
      </c>
      <c r="B13" s="225" t="s">
        <v>4134</v>
      </c>
      <c r="C13" s="224">
        <f>1329/(1+$P$3)</f>
        <v>1222.914741847826</v>
      </c>
      <c r="D13" s="303">
        <f>44302*(1+$P$3)</f>
        <v>48145.104466592842</v>
      </c>
      <c r="E13" s="227" t="s">
        <v>5140</v>
      </c>
      <c r="F13" s="226">
        <v>453.19</v>
      </c>
      <c r="G13" s="300">
        <f>C13*D13*0.9912/(F13*1.003631981)</f>
        <v>128308.31363494661</v>
      </c>
      <c r="H13" s="236">
        <f t="shared" si="4"/>
        <v>2.6984592375114764</v>
      </c>
      <c r="I13" s="228">
        <f>$O$54/$O$55</f>
        <v>2.7558494404883009</v>
      </c>
      <c r="J13" s="229">
        <f>I13/H13</f>
        <v>1.021267767242521</v>
      </c>
      <c r="K13" s="229">
        <f>(1/J13-1.0256)*100</f>
        <v>-4.6424868780442612</v>
      </c>
      <c r="L13" s="229"/>
      <c r="M13" s="35"/>
    </row>
    <row r="14" spans="1:23" ht="18.75">
      <c r="A14" s="230" t="s">
        <v>6658</v>
      </c>
      <c r="B14" s="225" t="s">
        <v>4134</v>
      </c>
      <c r="C14" s="224">
        <f>1322/(1+$P$3)</f>
        <v>1216.4735054347825</v>
      </c>
      <c r="D14" s="303">
        <f>553147*(1+$P$3)</f>
        <v>601131.3281653747</v>
      </c>
      <c r="E14" s="227" t="s">
        <v>5140</v>
      </c>
      <c r="F14" s="226">
        <f>450.0262</f>
        <v>450.02620000000002</v>
      </c>
      <c r="G14" s="300">
        <f>C14*D14*0.9912/(F14*1.003631981)</f>
        <v>1604800.3834569703</v>
      </c>
      <c r="H14" s="236">
        <f t="shared" si="4"/>
        <v>2.703117075038703</v>
      </c>
      <c r="I14" s="228">
        <f>$O$54/$O$55</f>
        <v>2.7558494404883009</v>
      </c>
      <c r="J14" s="229">
        <f>I14/H14</f>
        <v>1.0195079842958126</v>
      </c>
      <c r="K14" s="229">
        <f>(1/J14-1.0256)*100</f>
        <v>-4.4734704775546312</v>
      </c>
      <c r="L14" s="229"/>
      <c r="M14" s="35"/>
    </row>
    <row r="15" spans="1:23" ht="18.75">
      <c r="A15" s="230" t="s">
        <v>6658</v>
      </c>
      <c r="B15" s="225" t="s">
        <v>4134</v>
      </c>
      <c r="C15" s="224">
        <f>1322/(1+$P$3)</f>
        <v>1216.4735054347825</v>
      </c>
      <c r="D15" s="303">
        <f>54086.2694621809*(1+$P$3)</f>
        <v>58778.138536973267</v>
      </c>
      <c r="E15" s="227" t="s">
        <v>5140</v>
      </c>
      <c r="F15" s="226">
        <v>449.39547566360085</v>
      </c>
      <c r="G15" s="300">
        <f t="shared" ref="G15:G34" si="5">C15*D15*0.9912/(F15*1.003631981)</f>
        <v>157136.32374268965</v>
      </c>
      <c r="H15" s="236">
        <f t="shared" ref="H15:H26" si="6">C15/F15</f>
        <v>2.7069108865381302</v>
      </c>
      <c r="I15" s="228">
        <f>$O$54/$O$55</f>
        <v>2.7558494404883009</v>
      </c>
      <c r="J15" s="229">
        <f t="shared" ref="J15:J26" si="7">I15/H15</f>
        <v>1.0180791152725233</v>
      </c>
      <c r="K15" s="229">
        <f t="shared" ref="K15:K26" si="8">(1/J15-1.0256)*100</f>
        <v>-4.3358065165381436</v>
      </c>
      <c r="L15" s="229"/>
      <c r="M15" s="35"/>
    </row>
    <row r="16" spans="1:23" ht="18.75">
      <c r="A16" s="230" t="s">
        <v>6694</v>
      </c>
      <c r="B16" s="225" t="s">
        <v>4134</v>
      </c>
      <c r="C16" s="224">
        <f>1485.5/(1+$P$3)</f>
        <v>1366.9223845108695</v>
      </c>
      <c r="D16" s="303">
        <f>3544.78701208294*(1+$P$3)</f>
        <v>3852.289761377695</v>
      </c>
      <c r="E16" s="227" t="s">
        <v>5140</v>
      </c>
      <c r="F16" s="226">
        <v>506.01222850310961</v>
      </c>
      <c r="G16" s="300">
        <f t="shared" si="5"/>
        <v>10277.526167837894</v>
      </c>
      <c r="H16" s="236">
        <f t="shared" si="6"/>
        <v>2.7013623535433378</v>
      </c>
      <c r="I16" s="228">
        <f>$O$54/$O$55</f>
        <v>2.7558494404883009</v>
      </c>
      <c r="J16" s="229">
        <f t="shared" si="7"/>
        <v>1.0201702251730478</v>
      </c>
      <c r="K16" s="229">
        <f t="shared" si="8"/>
        <v>-4.5371430958619179</v>
      </c>
      <c r="L16" s="229"/>
      <c r="M16" s="35"/>
    </row>
    <row r="17" spans="1:21" ht="18.75">
      <c r="A17" s="230" t="s">
        <v>6702</v>
      </c>
      <c r="B17" s="225" t="s">
        <v>4134</v>
      </c>
      <c r="C17" s="224">
        <f>1400/(1+$P$3)</f>
        <v>1288.2472826086955</v>
      </c>
      <c r="D17" s="303">
        <f>114009.144076031*(1+$P$3)</f>
        <v>123899.19533401082</v>
      </c>
      <c r="E17" s="227" t="s">
        <v>5140</v>
      </c>
      <c r="F17" s="226">
        <v>473.97776203710504</v>
      </c>
      <c r="G17" s="300">
        <f t="shared" si="5"/>
        <v>332580.32735952263</v>
      </c>
      <c r="H17" s="236">
        <f t="shared" si="6"/>
        <v>2.7179487853437436</v>
      </c>
      <c r="I17" s="228">
        <f>$O$54/$O$55</f>
        <v>2.7558494404883009</v>
      </c>
      <c r="J17" s="229">
        <f t="shared" si="7"/>
        <v>1.01394458032062</v>
      </c>
      <c r="K17" s="229">
        <f t="shared" si="8"/>
        <v>-3.935280325105206</v>
      </c>
      <c r="L17" s="229"/>
      <c r="M17" s="35"/>
      <c r="N17" s="63" t="s">
        <v>869</v>
      </c>
      <c r="O17" s="63">
        <v>24031</v>
      </c>
      <c r="P17" s="63">
        <f>O17/0.9912</f>
        <v>24244.350282485877</v>
      </c>
    </row>
    <row r="18" spans="1:21" ht="18.75">
      <c r="A18" s="230" t="s">
        <v>6706</v>
      </c>
      <c r="B18" s="225" t="s">
        <v>4134</v>
      </c>
      <c r="C18" s="224">
        <f>1448/(1+$P$3)</f>
        <v>1332.4157608695652</v>
      </c>
      <c r="D18" s="303">
        <f>17695.1621546102*(1+$P$3)</f>
        <v>19230.179912577492</v>
      </c>
      <c r="E18" s="227" t="s">
        <v>5140</v>
      </c>
      <c r="F18" s="226">
        <v>487.08100177239885</v>
      </c>
      <c r="G18" s="300">
        <f t="shared" si="5"/>
        <v>51952.771385351421</v>
      </c>
      <c r="H18" s="236">
        <f t="shared" si="6"/>
        <v>2.7355116623747335</v>
      </c>
      <c r="I18" s="228">
        <f>$O$54/$O$55</f>
        <v>2.7558494404883009</v>
      </c>
      <c r="J18" s="229">
        <f t="shared" si="7"/>
        <v>1.0074347254275318</v>
      </c>
      <c r="K18" s="229">
        <f t="shared" si="8"/>
        <v>-3.2979858208060819</v>
      </c>
      <c r="L18" s="229"/>
      <c r="M18" s="35"/>
      <c r="N18" s="63" t="s">
        <v>61</v>
      </c>
      <c r="O18" s="63">
        <v>27229</v>
      </c>
      <c r="P18" s="63">
        <f>O18/1.003631981</f>
        <v>27130.462675043033</v>
      </c>
    </row>
    <row r="19" spans="1:21" ht="18.75">
      <c r="A19" s="230" t="s">
        <v>6706</v>
      </c>
      <c r="B19" s="225" t="s">
        <v>4134</v>
      </c>
      <c r="C19" s="224">
        <f>1449/(1+$P$3)</f>
        <v>1333.3359375</v>
      </c>
      <c r="D19" s="303">
        <f>17693.5704157667*(1+$P$3)</f>
        <v>19228.450093767871</v>
      </c>
      <c r="E19" s="227" t="s">
        <v>5140</v>
      </c>
      <c r="F19" s="226">
        <v>487.08100177239885</v>
      </c>
      <c r="G19" s="300">
        <f t="shared" si="5"/>
        <v>51983.973818648425</v>
      </c>
      <c r="H19" s="236">
        <f t="shared" si="6"/>
        <v>2.7374008278874231</v>
      </c>
      <c r="I19" s="228">
        <f>$O$54/$O$55</f>
        <v>2.7558494404883009</v>
      </c>
      <c r="J19" s="229">
        <f t="shared" si="7"/>
        <v>1.0067394633671956</v>
      </c>
      <c r="K19" s="229">
        <f t="shared" si="8"/>
        <v>-3.2294347060414674</v>
      </c>
      <c r="L19" s="229"/>
      <c r="M19" s="35"/>
      <c r="N19" s="63" t="s">
        <v>6155</v>
      </c>
      <c r="O19" s="63">
        <v>14984</v>
      </c>
      <c r="P19" s="63">
        <f>O19*0.9912/1.003631981</f>
        <v>14798.393316643422</v>
      </c>
    </row>
    <row r="20" spans="1:21" ht="18.75">
      <c r="A20" s="230" t="s">
        <v>6706</v>
      </c>
      <c r="B20" s="225" t="s">
        <v>4134</v>
      </c>
      <c r="C20" s="224">
        <f>1450/(1+$P$3)</f>
        <v>1334.2561141304348</v>
      </c>
      <c r="D20" s="303">
        <f>17691.9786769232*(1+$P$3)</f>
        <v>19226.720274958254</v>
      </c>
      <c r="E20" s="227" t="s">
        <v>5140</v>
      </c>
      <c r="F20" s="226">
        <v>487.08100177239885</v>
      </c>
      <c r="G20" s="300">
        <f t="shared" si="5"/>
        <v>52015.169797076596</v>
      </c>
      <c r="H20" s="236">
        <f t="shared" si="6"/>
        <v>2.7392899934001127</v>
      </c>
      <c r="I20" s="228">
        <f>$O$54/$O$55</f>
        <v>2.7558494404883009</v>
      </c>
      <c r="J20" s="229">
        <f t="shared" si="7"/>
        <v>1.0060451602890113</v>
      </c>
      <c r="K20" s="229">
        <f t="shared" si="8"/>
        <v>-3.1608835912768307</v>
      </c>
      <c r="L20" s="229"/>
      <c r="M20" s="35"/>
      <c r="N20" s="63" t="s">
        <v>1004</v>
      </c>
      <c r="O20" s="63">
        <v>1155794</v>
      </c>
      <c r="P20" s="63">
        <f>O20/1.00125</f>
        <v>1154351.0611735331</v>
      </c>
    </row>
    <row r="21" spans="1:21" ht="18.75">
      <c r="A21" s="230" t="s">
        <v>6706</v>
      </c>
      <c r="B21" s="225" t="s">
        <v>4134</v>
      </c>
      <c r="C21" s="224">
        <f>1451/(1+$P$3)</f>
        <v>1335.1762907608695</v>
      </c>
      <c r="D21" s="303">
        <f>17690.3869380797*(1+$P$3)</f>
        <v>19224.990456148629</v>
      </c>
      <c r="E21" s="227" t="s">
        <v>5140</v>
      </c>
      <c r="F21" s="226">
        <v>487.08100177239885</v>
      </c>
      <c r="G21" s="300">
        <f t="shared" si="5"/>
        <v>52046.359320635936</v>
      </c>
      <c r="H21" s="236">
        <f t="shared" si="6"/>
        <v>2.7411791589128023</v>
      </c>
      <c r="I21" s="228">
        <f>$O$54/$O$55</f>
        <v>2.7558494404883009</v>
      </c>
      <c r="J21" s="229">
        <f t="shared" si="7"/>
        <v>1.0053518142102456</v>
      </c>
      <c r="K21" s="229">
        <f t="shared" si="8"/>
        <v>-3.092332476512194</v>
      </c>
      <c r="L21" s="229"/>
      <c r="M21" s="35"/>
    </row>
    <row r="22" spans="1:21" ht="18.75">
      <c r="A22" s="230" t="s">
        <v>6706</v>
      </c>
      <c r="B22" s="225" t="s">
        <v>4134</v>
      </c>
      <c r="C22" s="224">
        <f>1452/(1+$P$3)</f>
        <v>1336.0964673913043</v>
      </c>
      <c r="D22" s="303">
        <f>17688.7951992362*(1+$P$3)</f>
        <v>19223.260637339008</v>
      </c>
      <c r="E22" s="227" t="s">
        <v>5140</v>
      </c>
      <c r="F22" s="226">
        <v>487.08100177239885</v>
      </c>
      <c r="G22" s="300">
        <f t="shared" si="5"/>
        <v>52077.542389326452</v>
      </c>
      <c r="H22" s="236">
        <f t="shared" si="6"/>
        <v>2.7430683244254923</v>
      </c>
      <c r="I22" s="228">
        <f>$O$54/$O$55</f>
        <v>2.7558494404883009</v>
      </c>
      <c r="J22" s="229">
        <f t="shared" si="7"/>
        <v>1.0046594231536268</v>
      </c>
      <c r="K22" s="229">
        <f t="shared" si="8"/>
        <v>-3.0237813617475351</v>
      </c>
      <c r="L22" s="229"/>
      <c r="M22" s="35"/>
      <c r="N22" s="200" t="s">
        <v>4134</v>
      </c>
      <c r="O22" s="200"/>
      <c r="P22" s="200"/>
      <c r="Q22" s="200" t="s">
        <v>6909</v>
      </c>
    </row>
    <row r="23" spans="1:21" ht="18.75">
      <c r="A23" s="230" t="s">
        <v>6706</v>
      </c>
      <c r="B23" s="225" t="s">
        <v>4134</v>
      </c>
      <c r="C23" s="224">
        <f>1453/(1+$P$3)</f>
        <v>1337.016644021739</v>
      </c>
      <c r="D23" s="303">
        <f>17687.2034603927*(1+$P$3)</f>
        <v>19221.530818529387</v>
      </c>
      <c r="E23" s="227" t="s">
        <v>5140</v>
      </c>
      <c r="F23" s="226">
        <v>487.08100177239885</v>
      </c>
      <c r="G23" s="300">
        <f t="shared" si="5"/>
        <v>52108.71900314813</v>
      </c>
      <c r="H23" s="236">
        <f t="shared" si="6"/>
        <v>2.7449574899381819</v>
      </c>
      <c r="I23" s="228">
        <f>$O$54/$O$55</f>
        <v>2.7558494404883009</v>
      </c>
      <c r="J23" s="229">
        <f t="shared" si="7"/>
        <v>1.0039679851473271</v>
      </c>
      <c r="K23" s="229">
        <f t="shared" si="8"/>
        <v>-2.9552302469829095</v>
      </c>
      <c r="L23" s="229"/>
      <c r="M23" s="35"/>
      <c r="N23" s="207">
        <v>71408</v>
      </c>
      <c r="O23" s="64">
        <v>2386</v>
      </c>
      <c r="P23" s="64">
        <v>168881609</v>
      </c>
      <c r="Q23" s="200">
        <f>O23/1.0127</f>
        <v>2356.0778117902637</v>
      </c>
    </row>
    <row r="24" spans="1:21" ht="18.75">
      <c r="A24" s="230" t="s">
        <v>6706</v>
      </c>
      <c r="B24" s="225" t="s">
        <v>4134</v>
      </c>
      <c r="C24" s="224">
        <f>1466/(1+$P$3)</f>
        <v>1348.9789402173913</v>
      </c>
      <c r="D24" s="303">
        <f>17678.7369051458*(1+$P$3)</f>
        <v>19212.329807585545</v>
      </c>
      <c r="E24" s="227" t="s">
        <v>5140</v>
      </c>
      <c r="F24" s="226">
        <v>489.6464483854391</v>
      </c>
      <c r="G24" s="300">
        <f t="shared" si="5"/>
        <v>52274.440820197</v>
      </c>
      <c r="H24" s="236">
        <f t="shared" si="6"/>
        <v>2.755006075639916</v>
      </c>
      <c r="I24" s="228">
        <f>$O$54/$O$55</f>
        <v>2.7558494404883009</v>
      </c>
      <c r="J24" s="229">
        <f t="shared" si="7"/>
        <v>1.0003061208669708</v>
      </c>
      <c r="K24" s="229">
        <f t="shared" si="8"/>
        <v>-2.5906027185663483</v>
      </c>
      <c r="L24" s="229"/>
      <c r="M24" s="35"/>
      <c r="N24" s="207">
        <v>18797</v>
      </c>
      <c r="O24" s="64">
        <v>2504</v>
      </c>
      <c r="P24" s="64">
        <v>46653492</v>
      </c>
      <c r="Q24" s="200">
        <f>O24/1.0127</f>
        <v>2472.5980053322801</v>
      </c>
    </row>
    <row r="25" spans="1:21" ht="19.5" thickBot="1">
      <c r="A25" s="230" t="s">
        <v>6706</v>
      </c>
      <c r="B25" s="225" t="s">
        <v>4134</v>
      </c>
      <c r="C25" s="224">
        <f>1475/(1+$P$3)</f>
        <v>1357.2605298913043</v>
      </c>
      <c r="D25" s="303">
        <f>17674.9877236208*(1+$P$3)</f>
        <v>19208.255392521092</v>
      </c>
      <c r="E25" s="227" t="s">
        <v>5140</v>
      </c>
      <c r="F25" s="226">
        <v>491.85804029323242</v>
      </c>
      <c r="G25" s="300">
        <f t="shared" si="5"/>
        <v>52347.767836186693</v>
      </c>
      <c r="H25" s="236">
        <f t="shared" si="6"/>
        <v>2.7594558159141656</v>
      </c>
      <c r="I25" s="228">
        <f>$O$54/$O$55</f>
        <v>2.7558494404883009</v>
      </c>
      <c r="J25" s="229">
        <f t="shared" si="7"/>
        <v>0.99869308455490891</v>
      </c>
      <c r="K25" s="229">
        <f t="shared" si="8"/>
        <v>-2.4291374291758983</v>
      </c>
      <c r="L25" s="229"/>
      <c r="M25" s="35"/>
    </row>
    <row r="26" spans="1:21" ht="18.75">
      <c r="A26" s="230" t="s">
        <v>6706</v>
      </c>
      <c r="B26" s="225" t="s">
        <v>4134</v>
      </c>
      <c r="C26" s="224">
        <f>1476/(1+$P$3)</f>
        <v>1358.180706521739</v>
      </c>
      <c r="D26" s="303">
        <f>17673.4114441113*(1+$P$3)</f>
        <v>19206.542374109882</v>
      </c>
      <c r="E26" s="227" t="s">
        <v>5140</v>
      </c>
      <c r="F26" s="226">
        <v>491.85804029323242</v>
      </c>
      <c r="G26" s="300">
        <f t="shared" si="5"/>
        <v>52378.586237906318</v>
      </c>
      <c r="H26" s="236">
        <f t="shared" si="6"/>
        <v>2.7613266334164805</v>
      </c>
      <c r="I26" s="228">
        <f>$O$54/$O$55</f>
        <v>2.7558494404883009</v>
      </c>
      <c r="J26" s="229">
        <f t="shared" si="7"/>
        <v>0.99801646322390958</v>
      </c>
      <c r="K26" s="229">
        <f t="shared" si="8"/>
        <v>-2.3612520986194152</v>
      </c>
      <c r="L26" s="229"/>
      <c r="M26" s="76"/>
      <c r="N26" s="328" t="s">
        <v>6827</v>
      </c>
      <c r="O26" s="329">
        <f>O28*O29*1.003631981/(O27*0.9912)</f>
        <v>114969.8578087394</v>
      </c>
      <c r="P26" s="196"/>
    </row>
    <row r="27" spans="1:21" ht="18.75">
      <c r="A27" s="230" t="s">
        <v>6706</v>
      </c>
      <c r="B27" s="225" t="s">
        <v>4134</v>
      </c>
      <c r="C27" s="224">
        <f>1477/(1+$P$3)</f>
        <v>1359.1008831521738</v>
      </c>
      <c r="D27" s="303">
        <f>1357*(1+$P$3)</f>
        <v>1474.7168696936139</v>
      </c>
      <c r="E27" s="227" t="s">
        <v>5140</v>
      </c>
      <c r="F27" s="226">
        <v>491.6014956319284</v>
      </c>
      <c r="G27" s="300">
        <f t="shared" si="5"/>
        <v>4026.5579059824668</v>
      </c>
      <c r="H27" s="236">
        <f t="shared" ref="H27:H34" si="9">C27/F27</f>
        <v>2.7646394391154558</v>
      </c>
      <c r="I27" s="228">
        <f>$O$54/$O$55</f>
        <v>2.7558494404883009</v>
      </c>
      <c r="J27" s="229">
        <f t="shared" ref="J27:J34" si="10">I27/H27</f>
        <v>0.996820562384089</v>
      </c>
      <c r="K27" s="229">
        <f t="shared" ref="K27:K59" si="11">(1/J27-1.0256)*100</f>
        <v>-2.2410421317647478</v>
      </c>
      <c r="L27" s="229"/>
      <c r="M27" s="76"/>
      <c r="N27" s="330" t="s">
        <v>6826</v>
      </c>
      <c r="O27" s="331">
        <v>2668</v>
      </c>
    </row>
    <row r="28" spans="1:21" ht="18.75">
      <c r="A28" s="230" t="s">
        <v>6725</v>
      </c>
      <c r="B28" s="225" t="s">
        <v>4134</v>
      </c>
      <c r="C28" s="224">
        <f>1392/(1+$P$3)</f>
        <v>1280.8858695652173</v>
      </c>
      <c r="D28" s="303">
        <f>20000*(1+$P$3)</f>
        <v>21734.957548911039</v>
      </c>
      <c r="E28" s="227" t="s">
        <v>5140</v>
      </c>
      <c r="F28" s="226">
        <v>460</v>
      </c>
      <c r="G28" s="300">
        <f t="shared" si="5"/>
        <v>59772.056851272217</v>
      </c>
      <c r="H28" s="236">
        <f t="shared" si="9"/>
        <v>2.78453449905482</v>
      </c>
      <c r="I28" s="228">
        <f>$O$54/$O$55</f>
        <v>2.7558494404883009</v>
      </c>
      <c r="J28" s="229">
        <f t="shared" si="10"/>
        <v>0.98969843664129287</v>
      </c>
      <c r="K28" s="229">
        <f t="shared" si="11"/>
        <v>-1.519120982986788</v>
      </c>
      <c r="L28" s="229"/>
      <c r="M28" s="76"/>
      <c r="N28" s="330" t="s">
        <v>6828</v>
      </c>
      <c r="O28" s="331">
        <v>765000</v>
      </c>
      <c r="Q28" t="s">
        <v>25</v>
      </c>
    </row>
    <row r="29" spans="1:21" ht="19.5" thickBot="1">
      <c r="A29" s="230" t="s">
        <v>6725</v>
      </c>
      <c r="B29" s="225" t="s">
        <v>4134</v>
      </c>
      <c r="C29" s="224">
        <f>1394/(1+$P$3)</f>
        <v>1282.726222826087</v>
      </c>
      <c r="D29" s="303">
        <f>20000*(1+$P$3)</f>
        <v>21734.957548911039</v>
      </c>
      <c r="E29" s="227" t="s">
        <v>5140</v>
      </c>
      <c r="F29" s="226">
        <v>460</v>
      </c>
      <c r="G29" s="300">
        <f t="shared" si="5"/>
        <v>59857.936243299911</v>
      </c>
      <c r="H29" s="236">
        <f t="shared" si="9"/>
        <v>2.7885352670132324</v>
      </c>
      <c r="I29" s="228">
        <f>$O$54/$O$55</f>
        <v>2.7558494404883009</v>
      </c>
      <c r="J29" s="229">
        <f t="shared" si="10"/>
        <v>0.98827849627308428</v>
      </c>
      <c r="K29" s="229">
        <f t="shared" si="11"/>
        <v>-1.3739473062381879</v>
      </c>
      <c r="L29" s="229"/>
      <c r="M29" s="76"/>
      <c r="N29" s="332" t="s">
        <v>6829</v>
      </c>
      <c r="O29" s="333">
        <v>396</v>
      </c>
      <c r="Q29" t="s">
        <v>25</v>
      </c>
    </row>
    <row r="30" spans="1:21" ht="18.75">
      <c r="A30" s="230" t="s">
        <v>6725</v>
      </c>
      <c r="B30" s="225" t="s">
        <v>4134</v>
      </c>
      <c r="C30" s="224">
        <f>1396/(1+$P$3)</f>
        <v>1284.5665760869565</v>
      </c>
      <c r="D30" s="303">
        <f>5221.206*(1+$P$3)</f>
        <v>5674.1345382059808</v>
      </c>
      <c r="E30" s="227" t="s">
        <v>5140</v>
      </c>
      <c r="F30" s="226">
        <v>460</v>
      </c>
      <c r="G30" s="300">
        <f t="shared" si="5"/>
        <v>15648.950492903314</v>
      </c>
      <c r="H30" s="236">
        <f t="shared" si="9"/>
        <v>2.7925360349716444</v>
      </c>
      <c r="I30" s="228">
        <f>$O$54/$O$55</f>
        <v>2.7558494404883009</v>
      </c>
      <c r="J30" s="229">
        <f t="shared" si="10"/>
        <v>0.98686262450191942</v>
      </c>
      <c r="K30" s="229">
        <f t="shared" si="11"/>
        <v>-1.2287736294896101</v>
      </c>
      <c r="L30" s="229"/>
      <c r="M30" s="76"/>
      <c r="Q30" t="s">
        <v>25</v>
      </c>
    </row>
    <row r="31" spans="1:21" ht="21">
      <c r="A31" s="230" t="s">
        <v>6726</v>
      </c>
      <c r="B31" s="225" t="s">
        <v>4134</v>
      </c>
      <c r="C31" s="224">
        <f>1414/(1+$P$3)</f>
        <v>1301.1297554347825</v>
      </c>
      <c r="D31" s="303">
        <f>30000*(1+$P$3)</f>
        <v>32602.436323366557</v>
      </c>
      <c r="E31" s="227" t="s">
        <v>5140</v>
      </c>
      <c r="F31" s="226">
        <v>462</v>
      </c>
      <c r="G31" s="300">
        <f t="shared" si="5"/>
        <v>90680.830763783539</v>
      </c>
      <c r="H31" s="236">
        <f t="shared" si="9"/>
        <v>2.8162981719367588</v>
      </c>
      <c r="I31" s="228">
        <f>$O$54/$O$55</f>
        <v>2.7558494404883009</v>
      </c>
      <c r="J31" s="229">
        <f t="shared" si="10"/>
        <v>0.97853610386470991</v>
      </c>
      <c r="K31" s="229">
        <f t="shared" si="11"/>
        <v>-0.36652997364954309</v>
      </c>
      <c r="L31" s="229"/>
      <c r="M31" s="76"/>
      <c r="N31" s="530" t="s">
        <v>6958</v>
      </c>
      <c r="O31" s="531">
        <v>70</v>
      </c>
      <c r="P31" s="548"/>
      <c r="Q31" s="548"/>
    </row>
    <row r="32" spans="1:21" ht="21">
      <c r="A32" s="230" t="s">
        <v>6726</v>
      </c>
      <c r="B32" s="225" t="s">
        <v>4134</v>
      </c>
      <c r="C32" s="224">
        <f>1417/(1+$P$3)</f>
        <v>1303.890285326087</v>
      </c>
      <c r="D32" s="303">
        <f>10000*(1+$P$3)</f>
        <v>10867.47877445552</v>
      </c>
      <c r="E32" s="227" t="s">
        <v>5140</v>
      </c>
      <c r="F32" s="226">
        <v>462.9</v>
      </c>
      <c r="G32" s="300">
        <f t="shared" si="5"/>
        <v>30232.180444744481</v>
      </c>
      <c r="H32" s="236">
        <f t="shared" si="9"/>
        <v>2.8167860992138412</v>
      </c>
      <c r="I32" s="228">
        <f>$O$54/$O$55</f>
        <v>2.7558494404883009</v>
      </c>
      <c r="J32" s="229">
        <f t="shared" si="10"/>
        <v>0.9783666005940076</v>
      </c>
      <c r="K32" s="229">
        <f t="shared" si="11"/>
        <v>-0.34882482365425904</v>
      </c>
      <c r="L32" s="229"/>
      <c r="M32" s="76"/>
      <c r="N32" s="524" t="s">
        <v>6956</v>
      </c>
      <c r="O32" s="525">
        <v>0</v>
      </c>
      <c r="P32" s="548"/>
      <c r="Q32" s="548"/>
      <c r="U32" t="s">
        <v>25</v>
      </c>
    </row>
    <row r="33" spans="1:22" ht="21">
      <c r="A33" s="230" t="s">
        <v>6726</v>
      </c>
      <c r="B33" s="225" t="s">
        <v>4134</v>
      </c>
      <c r="C33" s="224">
        <f>1418/(1+$P$3)</f>
        <v>1304.8104619565217</v>
      </c>
      <c r="D33" s="303">
        <f>10000*(1+$P$3)</f>
        <v>10867.47877445552</v>
      </c>
      <c r="E33" s="227" t="s">
        <v>5140</v>
      </c>
      <c r="F33" s="226">
        <v>462</v>
      </c>
      <c r="G33" s="300">
        <f t="shared" si="5"/>
        <v>30312.451207695678</v>
      </c>
      <c r="H33" s="236">
        <f t="shared" si="9"/>
        <v>2.8242650691699605</v>
      </c>
      <c r="I33" s="228">
        <f>$O$54/$O$55</f>
        <v>2.7558494404883009</v>
      </c>
      <c r="J33" s="229">
        <f t="shared" si="10"/>
        <v>0.97577577635028201</v>
      </c>
      <c r="K33" s="229">
        <f t="shared" si="11"/>
        <v>-7.743953510257473E-2</v>
      </c>
      <c r="L33" s="229"/>
      <c r="M33" s="76"/>
      <c r="N33" s="528" t="s">
        <v>6952</v>
      </c>
      <c r="O33" s="314">
        <v>36</v>
      </c>
      <c r="P33" s="548"/>
      <c r="Q33" s="548"/>
    </row>
    <row r="34" spans="1:22" ht="21">
      <c r="A34" s="230" t="s">
        <v>6726</v>
      </c>
      <c r="B34" s="225" t="s">
        <v>4134</v>
      </c>
      <c r="C34" s="224">
        <f>1419/(1+$P$3)</f>
        <v>1305.7306385869565</v>
      </c>
      <c r="D34" s="303">
        <f>10000*(1+$P$3)</f>
        <v>10867.47877445552</v>
      </c>
      <c r="E34" s="227" t="s">
        <v>5140</v>
      </c>
      <c r="F34" s="226">
        <v>462</v>
      </c>
      <c r="G34" s="300">
        <f t="shared" si="5"/>
        <v>30333.828112637635</v>
      </c>
      <c r="H34" s="236">
        <f t="shared" si="9"/>
        <v>2.8262567934782608</v>
      </c>
      <c r="I34" s="228">
        <f>$O$54/$O$55</f>
        <v>2.7558494404883009</v>
      </c>
      <c r="J34" s="229">
        <f t="shared" si="10"/>
        <v>0.97508812604982376</v>
      </c>
      <c r="K34" s="229">
        <f t="shared" si="11"/>
        <v>-5.1669254658381902E-3</v>
      </c>
      <c r="L34" s="229"/>
      <c r="M34" s="76"/>
      <c r="N34" s="305" t="s">
        <v>6997</v>
      </c>
      <c r="O34" s="557">
        <v>10</v>
      </c>
      <c r="P34" s="551"/>
      <c r="Q34" s="551"/>
    </row>
    <row r="35" spans="1:22" ht="21">
      <c r="A35" s="230" t="s">
        <v>6726</v>
      </c>
      <c r="B35" s="225" t="s">
        <v>4134</v>
      </c>
      <c r="C35" s="224">
        <f>1420/(1+$P$3)</f>
        <v>1306.6508152173913</v>
      </c>
      <c r="D35" s="303">
        <f>10000*(1+$P$3)</f>
        <v>10867.47877445552</v>
      </c>
      <c r="E35" s="227" t="s">
        <v>5140</v>
      </c>
      <c r="F35" s="226">
        <v>462</v>
      </c>
      <c r="G35" s="300">
        <f t="shared" ref="G35:G40" si="12">C35*D35*0.9912/(F35*1.003631981)</f>
        <v>30355.205017579588</v>
      </c>
      <c r="H35" s="236">
        <f t="shared" ref="H35:H40" si="13">C35/F35</f>
        <v>2.8282485177865611</v>
      </c>
      <c r="I35" s="228">
        <f>$O$54/$O$55</f>
        <v>2.7558494404883009</v>
      </c>
      <c r="J35" s="229">
        <f t="shared" ref="J35:J40" si="14">I35/H35</f>
        <v>0.97440144427091546</v>
      </c>
      <c r="K35" s="229">
        <f t="shared" si="11"/>
        <v>6.710568417089835E-2</v>
      </c>
      <c r="L35" s="229"/>
      <c r="M35" s="76"/>
      <c r="N35" s="555" t="s">
        <v>6996</v>
      </c>
      <c r="O35" s="556">
        <v>10</v>
      </c>
      <c r="P35" s="551"/>
      <c r="Q35" s="551"/>
      <c r="R35" t="s">
        <v>25</v>
      </c>
    </row>
    <row r="36" spans="1:22" ht="21">
      <c r="A36" s="230" t="s">
        <v>6726</v>
      </c>
      <c r="B36" s="225" t="s">
        <v>4134</v>
      </c>
      <c r="C36" s="224">
        <f>1421/(1+$P$3)</f>
        <v>1307.570991847826</v>
      </c>
      <c r="D36" s="303">
        <f>8516*(1+$P$3)</f>
        <v>9254.74492432632</v>
      </c>
      <c r="E36" s="227" t="s">
        <v>5140</v>
      </c>
      <c r="F36" s="226">
        <v>462</v>
      </c>
      <c r="G36" s="300">
        <f t="shared" si="12"/>
        <v>25868.697165219346</v>
      </c>
      <c r="H36" s="236">
        <f t="shared" si="13"/>
        <v>2.8302402420948614</v>
      </c>
      <c r="I36" s="228">
        <f>$O$54/$O$55</f>
        <v>2.7558494404883009</v>
      </c>
      <c r="J36" s="229">
        <f t="shared" si="14"/>
        <v>0.97371572896882475</v>
      </c>
      <c r="K36" s="229">
        <f t="shared" si="11"/>
        <v>0.13937829380763489</v>
      </c>
      <c r="L36" s="229"/>
      <c r="M36" s="76"/>
      <c r="N36" s="540" t="s">
        <v>6957</v>
      </c>
      <c r="O36" s="541">
        <v>19.899999999999999</v>
      </c>
      <c r="P36" s="548"/>
      <c r="Q36" s="548"/>
    </row>
    <row r="37" spans="1:22" ht="21">
      <c r="A37" s="230" t="s">
        <v>6727</v>
      </c>
      <c r="B37" s="225" t="s">
        <v>4134</v>
      </c>
      <c r="C37" s="224">
        <f>1431/(1+$P$3)</f>
        <v>1316.7727581521738</v>
      </c>
      <c r="D37" s="303">
        <f>10000*(1+$P$3)</f>
        <v>10867.47877445552</v>
      </c>
      <c r="E37" s="227" t="s">
        <v>5140</v>
      </c>
      <c r="F37" s="226">
        <v>461.5</v>
      </c>
      <c r="G37" s="300">
        <f t="shared" si="12"/>
        <v>30623.493280686453</v>
      </c>
      <c r="H37" s="236">
        <f t="shared" si="13"/>
        <v>2.853245413114136</v>
      </c>
      <c r="I37" s="228">
        <f>$O$54/$O$55</f>
        <v>2.7558494404883009</v>
      </c>
      <c r="J37" s="229">
        <f t="shared" si="14"/>
        <v>0.96586484563221164</v>
      </c>
      <c r="K37" s="229">
        <f t="shared" si="11"/>
        <v>0.9741543407602693</v>
      </c>
      <c r="L37" s="229"/>
      <c r="M37" s="76"/>
      <c r="N37" s="526" t="s">
        <v>6951</v>
      </c>
      <c r="O37" s="527">
        <v>9.5</v>
      </c>
      <c r="P37" s="548"/>
      <c r="Q37" s="548"/>
    </row>
    <row r="38" spans="1:22" ht="21">
      <c r="A38" s="230" t="s">
        <v>6727</v>
      </c>
      <c r="B38" s="225" t="s">
        <v>4134</v>
      </c>
      <c r="C38" s="224">
        <f>1432/(1+$P$3)</f>
        <v>1317.6929347826087</v>
      </c>
      <c r="D38" s="303">
        <f>10000*(1+$P$3)</f>
        <v>10867.47877445552</v>
      </c>
      <c r="E38" s="227" t="s">
        <v>5140</v>
      </c>
      <c r="F38" s="226">
        <v>461.5</v>
      </c>
      <c r="G38" s="300">
        <f t="shared" si="12"/>
        <v>30644.893345872122</v>
      </c>
      <c r="H38" s="236">
        <f t="shared" si="13"/>
        <v>2.8552392953035941</v>
      </c>
      <c r="I38" s="228">
        <f>$O$54/$O$55</f>
        <v>2.7558494404883009</v>
      </c>
      <c r="J38" s="229">
        <f t="shared" si="14"/>
        <v>0.96519035900816674</v>
      </c>
      <c r="K38" s="229">
        <f t="shared" si="11"/>
        <v>1.0465052522492746</v>
      </c>
      <c r="L38" s="229"/>
      <c r="M38" s="76"/>
      <c r="N38" s="528" t="s">
        <v>6950</v>
      </c>
      <c r="O38" s="314">
        <v>0.4</v>
      </c>
      <c r="R38" s="362"/>
      <c r="S38" s="362"/>
      <c r="T38" s="362"/>
      <c r="U38" s="362"/>
      <c r="V38" s="460"/>
    </row>
    <row r="39" spans="1:22" ht="21">
      <c r="A39" s="230" t="s">
        <v>6727</v>
      </c>
      <c r="B39" s="225" t="s">
        <v>4134</v>
      </c>
      <c r="C39" s="224">
        <f>1433/(1+$P$3)</f>
        <v>1318.6131114130435</v>
      </c>
      <c r="D39" s="303">
        <f>10000*(1+$P$3)</f>
        <v>10867.47877445552</v>
      </c>
      <c r="E39" s="227" t="s">
        <v>5140</v>
      </c>
      <c r="F39" s="226">
        <v>461</v>
      </c>
      <c r="G39" s="300">
        <f t="shared" si="12"/>
        <v>30699.554032978675</v>
      </c>
      <c r="H39" s="236">
        <f t="shared" si="13"/>
        <v>2.8603321288786194</v>
      </c>
      <c r="I39" s="228">
        <f>$O$54/$O$55</f>
        <v>2.7558494404883009</v>
      </c>
      <c r="J39" s="229">
        <f>I39/H39</f>
        <v>0.96347183345058585</v>
      </c>
      <c r="K39" s="229">
        <f t="shared" si="11"/>
        <v>1.2313061161935313</v>
      </c>
      <c r="L39" s="229"/>
      <c r="M39" s="76"/>
      <c r="N39" s="488" t="s">
        <v>6968</v>
      </c>
      <c r="O39" s="521">
        <v>0</v>
      </c>
      <c r="Q39" s="372"/>
      <c r="R39" s="362"/>
      <c r="S39" s="362" t="s">
        <v>25</v>
      </c>
      <c r="T39" s="362"/>
      <c r="U39" s="362"/>
      <c r="V39" s="460"/>
    </row>
    <row r="40" spans="1:22" ht="21">
      <c r="A40" s="230" t="s">
        <v>6727</v>
      </c>
      <c r="B40" s="225" t="s">
        <v>4134</v>
      </c>
      <c r="C40" s="224">
        <f>1427/(1+$P$3)</f>
        <v>1313.0920516304348</v>
      </c>
      <c r="D40" s="303">
        <f>7000*(1+$P$3)</f>
        <v>7607.2351421188632</v>
      </c>
      <c r="E40" s="227" t="s">
        <v>5140</v>
      </c>
      <c r="F40" s="226">
        <v>459</v>
      </c>
      <c r="G40" s="300">
        <f t="shared" si="12"/>
        <v>21492.954989309022</v>
      </c>
      <c r="H40" s="236">
        <f t="shared" si="13"/>
        <v>2.8607669970161975</v>
      </c>
      <c r="I40" s="228">
        <f>$O$54/$O$55</f>
        <v>2.7558494404883009</v>
      </c>
      <c r="J40" s="229">
        <f t="shared" si="14"/>
        <v>0.96332537510488392</v>
      </c>
      <c r="K40" s="229">
        <f t="shared" si="11"/>
        <v>1.2470859382400334</v>
      </c>
      <c r="L40" s="229"/>
      <c r="M40" s="76"/>
      <c r="N40" s="406" t="s">
        <v>6949</v>
      </c>
      <c r="O40" s="520">
        <v>15</v>
      </c>
      <c r="Q40" s="25"/>
      <c r="R40" s="362"/>
      <c r="S40" s="362"/>
      <c r="T40" s="362"/>
      <c r="U40" s="362"/>
      <c r="V40" s="460"/>
    </row>
    <row r="41" spans="1:22" ht="18.75" customHeight="1">
      <c r="A41" s="230" t="s">
        <v>6727</v>
      </c>
      <c r="B41" s="225" t="s">
        <v>4134</v>
      </c>
      <c r="C41" s="224">
        <f>1434/(1+$P$3)</f>
        <v>1319.5332880434783</v>
      </c>
      <c r="D41" s="303">
        <f t="shared" ref="D41:D46" si="15">10000*(1+$P$3)</f>
        <v>10867.47877445552</v>
      </c>
      <c r="E41" s="227" t="s">
        <v>5140</v>
      </c>
      <c r="F41" s="226">
        <v>461.3</v>
      </c>
      <c r="G41" s="300">
        <f t="shared" ref="G41:G47" si="16">C41*D41*0.9912/(F41*1.003631981)</f>
        <v>30700.998350935082</v>
      </c>
      <c r="H41" s="236">
        <f t="shared" ref="H41:H53" si="17">C41/F41</f>
        <v>2.8604666985551228</v>
      </c>
      <c r="I41" s="228">
        <f>$O$54/$O$55</f>
        <v>2.7558494404883009</v>
      </c>
      <c r="J41" s="229">
        <f t="shared" ref="J41:J60" si="18">I41/H41</f>
        <v>0.96342650724804235</v>
      </c>
      <c r="K41" s="229">
        <f t="shared" si="11"/>
        <v>1.2361891723767338</v>
      </c>
      <c r="L41" s="229"/>
      <c r="M41" s="76"/>
      <c r="N41" s="406" t="s">
        <v>7008</v>
      </c>
      <c r="O41" s="520">
        <v>7</v>
      </c>
      <c r="R41" s="362" t="s">
        <v>25</v>
      </c>
      <c r="S41" s="362"/>
      <c r="T41" s="362"/>
      <c r="U41" s="362"/>
      <c r="V41" s="460"/>
    </row>
    <row r="42" spans="1:22" ht="21.75" customHeight="1">
      <c r="A42" s="230" t="s">
        <v>6727</v>
      </c>
      <c r="B42" s="225" t="s">
        <v>4134</v>
      </c>
      <c r="C42" s="224">
        <f>1435/(1+$P$3)</f>
        <v>1320.453464673913</v>
      </c>
      <c r="D42" s="303">
        <f t="shared" si="15"/>
        <v>10867.47877445552</v>
      </c>
      <c r="E42" s="227" t="s">
        <v>5140</v>
      </c>
      <c r="F42" s="226">
        <v>461.3</v>
      </c>
      <c r="G42" s="300">
        <f t="shared" si="16"/>
        <v>30722.407694276037</v>
      </c>
      <c r="H42" s="236">
        <f t="shared" si="17"/>
        <v>2.8624614452068351</v>
      </c>
      <c r="I42" s="228">
        <f>$O$54/$O$55</f>
        <v>2.7558494404883009</v>
      </c>
      <c r="J42" s="229">
        <f t="shared" si="18"/>
        <v>0.96275512989107503</v>
      </c>
      <c r="K42" s="229">
        <f t="shared" si="11"/>
        <v>1.3085714521343217</v>
      </c>
      <c r="L42" s="229"/>
      <c r="M42" s="76"/>
      <c r="N42" s="536" t="s">
        <v>6948</v>
      </c>
      <c r="O42" s="537">
        <v>20</v>
      </c>
      <c r="Q42" s="362"/>
      <c r="V42" s="460"/>
    </row>
    <row r="43" spans="1:22" ht="21">
      <c r="A43" s="230" t="s">
        <v>6727</v>
      </c>
      <c r="B43" s="225" t="s">
        <v>4134</v>
      </c>
      <c r="C43" s="224">
        <f>1436/(1+$P$3)</f>
        <v>1321.3736413043478</v>
      </c>
      <c r="D43" s="303">
        <f t="shared" si="15"/>
        <v>10867.47877445552</v>
      </c>
      <c r="E43" s="227" t="s">
        <v>5140</v>
      </c>
      <c r="F43" s="226">
        <v>461.23</v>
      </c>
      <c r="G43" s="300">
        <f t="shared" si="16"/>
        <v>30748.482968264681</v>
      </c>
      <c r="H43" s="236">
        <f t="shared" si="17"/>
        <v>2.8648909249275798</v>
      </c>
      <c r="I43" s="228">
        <f>$O$54/$O$55</f>
        <v>2.7558494404883009</v>
      </c>
      <c r="J43" s="229">
        <f t="shared" si="18"/>
        <v>0.96193869599344861</v>
      </c>
      <c r="K43" s="229">
        <f t="shared" si="11"/>
        <v>1.3967286527800216</v>
      </c>
      <c r="L43" s="229"/>
      <c r="M43" s="76"/>
      <c r="N43" s="536" t="s">
        <v>6991</v>
      </c>
      <c r="O43" s="537">
        <v>27.5</v>
      </c>
      <c r="Q43" s="362"/>
      <c r="V43" s="460"/>
    </row>
    <row r="44" spans="1:22" ht="18.75" customHeight="1">
      <c r="A44" s="230" t="s">
        <v>6727</v>
      </c>
      <c r="B44" s="225" t="s">
        <v>4134</v>
      </c>
      <c r="C44" s="224">
        <f>1437/(1+$P$3)</f>
        <v>1322.2938179347825</v>
      </c>
      <c r="D44" s="303">
        <f t="shared" si="15"/>
        <v>10867.47877445552</v>
      </c>
      <c r="E44" s="227" t="s">
        <v>5140</v>
      </c>
      <c r="F44" s="226">
        <v>461.2</v>
      </c>
      <c r="G44" s="300">
        <f t="shared" si="16"/>
        <v>30771.89707184715</v>
      </c>
      <c r="H44" s="236">
        <f t="shared" si="17"/>
        <v>2.8670724586617142</v>
      </c>
      <c r="I44" s="228">
        <f>$O$54/$O$55</f>
        <v>2.7558494404883009</v>
      </c>
      <c r="J44" s="229">
        <f t="shared" si="18"/>
        <v>0.96120676412017514</v>
      </c>
      <c r="K44" s="229">
        <f t="shared" si="11"/>
        <v>1.4758887731437742</v>
      </c>
      <c r="L44" s="229"/>
      <c r="M44" s="76"/>
      <c r="N44" s="534" t="s">
        <v>6963</v>
      </c>
      <c r="O44" s="315">
        <v>7.8</v>
      </c>
      <c r="V44" s="460"/>
    </row>
    <row r="45" spans="1:22" ht="20.25" customHeight="1">
      <c r="A45" s="230" t="s">
        <v>6727</v>
      </c>
      <c r="B45" s="225" t="s">
        <v>4134</v>
      </c>
      <c r="C45" s="224">
        <f>1438/(1+$P$3)</f>
        <v>1323.2139945652173</v>
      </c>
      <c r="D45" s="303">
        <f t="shared" si="15"/>
        <v>10867.47877445552</v>
      </c>
      <c r="E45" s="227" t="s">
        <v>5140</v>
      </c>
      <c r="F45" s="226">
        <v>461.2</v>
      </c>
      <c r="G45" s="300">
        <f t="shared" si="16"/>
        <v>30793.311057283368</v>
      </c>
      <c r="H45" s="236">
        <f t="shared" si="17"/>
        <v>2.8690676378257098</v>
      </c>
      <c r="I45" s="228">
        <f>$O$54/$O$55</f>
        <v>2.7558494404883009</v>
      </c>
      <c r="J45" s="229">
        <f t="shared" si="18"/>
        <v>0.96053833104359643</v>
      </c>
      <c r="K45" s="229">
        <f t="shared" si="11"/>
        <v>1.548286747237837</v>
      </c>
      <c r="L45" s="229"/>
      <c r="M45" s="76"/>
      <c r="N45" s="534" t="s">
        <v>7007</v>
      </c>
      <c r="O45" s="315">
        <v>26.4</v>
      </c>
      <c r="P45" s="372"/>
      <c r="Q45" s="372"/>
      <c r="T45" s="341"/>
      <c r="V45" s="460"/>
    </row>
    <row r="46" spans="1:22" ht="21">
      <c r="A46" s="230" t="s">
        <v>6729</v>
      </c>
      <c r="B46" s="225" t="s">
        <v>4134</v>
      </c>
      <c r="C46" s="224">
        <f>1398/(1+$P$3)</f>
        <v>1286.406929347826</v>
      </c>
      <c r="D46" s="303">
        <f t="shared" si="15"/>
        <v>10867.47877445552</v>
      </c>
      <c r="E46" s="227" t="s">
        <v>5140</v>
      </c>
      <c r="F46" s="226">
        <v>448</v>
      </c>
      <c r="G46" s="300">
        <f t="shared" si="16"/>
        <v>30818.816643508289</v>
      </c>
      <c r="H46" s="236">
        <f t="shared" si="17"/>
        <v>2.8714440387228257</v>
      </c>
      <c r="I46" s="228">
        <f>$O$54/$O$55</f>
        <v>2.7558494404883009</v>
      </c>
      <c r="J46" s="229">
        <f t="shared" si="18"/>
        <v>0.95974339159124289</v>
      </c>
      <c r="K46" s="229">
        <f t="shared" si="11"/>
        <v>1.6345179056676873</v>
      </c>
      <c r="L46" s="229"/>
      <c r="M46" s="76"/>
      <c r="N46" s="337" t="s">
        <v>6961</v>
      </c>
      <c r="O46" s="316">
        <v>48</v>
      </c>
      <c r="P46" s="372" t="s">
        <v>25</v>
      </c>
      <c r="Q46" s="372" t="s">
        <v>25</v>
      </c>
      <c r="R46" s="362"/>
      <c r="S46" s="362"/>
      <c r="T46" s="362"/>
      <c r="U46" s="362"/>
      <c r="V46" s="460"/>
    </row>
    <row r="47" spans="1:22" ht="21">
      <c r="A47" s="230" t="s">
        <v>6729</v>
      </c>
      <c r="B47" s="225" t="s">
        <v>4134</v>
      </c>
      <c r="C47" s="224">
        <f>1398/(1+$P$3)</f>
        <v>1286.406929347826</v>
      </c>
      <c r="D47" s="303">
        <f>15400*(1+$P$3)</f>
        <v>16735.917312661499</v>
      </c>
      <c r="E47" s="227" t="s">
        <v>5140</v>
      </c>
      <c r="F47" s="226">
        <v>443.62</v>
      </c>
      <c r="G47" s="300">
        <f t="shared" si="16"/>
        <v>47929.57481332952</v>
      </c>
      <c r="H47" s="236">
        <f t="shared" si="17"/>
        <v>2.8997947102200667</v>
      </c>
      <c r="I47" s="228">
        <f>$O$54/$O$55</f>
        <v>2.7558494404883009</v>
      </c>
      <c r="J47" s="229">
        <f t="shared" si="18"/>
        <v>0.95036018611095341</v>
      </c>
      <c r="K47" s="229">
        <f t="shared" si="11"/>
        <v>2.6632632021530434</v>
      </c>
      <c r="L47" s="229"/>
      <c r="M47" s="76"/>
      <c r="N47" s="509" t="s">
        <v>6919</v>
      </c>
      <c r="O47" s="511">
        <v>350</v>
      </c>
      <c r="P47" s="372" t="s">
        <v>25</v>
      </c>
      <c r="Q47" s="372" t="s">
        <v>25</v>
      </c>
      <c r="V47" s="460"/>
    </row>
    <row r="48" spans="1:22" ht="18.75">
      <c r="A48" s="230" t="s">
        <v>6730</v>
      </c>
      <c r="B48" s="225" t="s">
        <v>4134</v>
      </c>
      <c r="C48" s="224">
        <f>1398/(1+$P$3)</f>
        <v>1286.406929347826</v>
      </c>
      <c r="D48" s="303">
        <f>12000*(1+$P$3)</f>
        <v>13040.974529346622</v>
      </c>
      <c r="E48" s="227" t="s">
        <v>5140</v>
      </c>
      <c r="F48" s="226">
        <v>439</v>
      </c>
      <c r="G48" s="300">
        <f t="shared" ref="G48:G53" si="19">C48*D48*0.9912/(F48*1.003631981)</f>
        <v>37740.764983029738</v>
      </c>
      <c r="H48" s="236">
        <f>C48/F48</f>
        <v>2.9303119119540457</v>
      </c>
      <c r="I48" s="228">
        <f>$O$54/$O$55</f>
        <v>2.7558494404883009</v>
      </c>
      <c r="J48" s="229">
        <f>I48/H48</f>
        <v>0.9404628323851687</v>
      </c>
      <c r="K48" s="229">
        <f>(1/J48-1.0256)*100</f>
        <v>3.7706241953055386</v>
      </c>
      <c r="L48" s="229"/>
      <c r="M48" s="76"/>
      <c r="N48" s="515" t="s">
        <v>6920</v>
      </c>
      <c r="O48" s="515">
        <v>280</v>
      </c>
      <c r="P48" s="372"/>
      <c r="Q48" t="s">
        <v>25</v>
      </c>
      <c r="V48" s="460"/>
    </row>
    <row r="49" spans="1:33" ht="18.75">
      <c r="A49" s="230" t="s">
        <v>6731</v>
      </c>
      <c r="B49" s="225" t="s">
        <v>4134</v>
      </c>
      <c r="C49" s="224">
        <f>1410/(1+$P$3)</f>
        <v>1297.4490489130435</v>
      </c>
      <c r="D49" s="303">
        <f>30000*(1+$P$3)</f>
        <v>32602.436323366557</v>
      </c>
      <c r="E49" s="227" t="s">
        <v>5140</v>
      </c>
      <c r="F49" s="226">
        <v>441.358</v>
      </c>
      <c r="G49" s="300">
        <f t="shared" si="19"/>
        <v>94653.388523307105</v>
      </c>
      <c r="H49" s="236">
        <f t="shared" si="17"/>
        <v>2.9396749326239551</v>
      </c>
      <c r="I49" s="228">
        <f>$O$54/$O$55</f>
        <v>2.7558494404883009</v>
      </c>
      <c r="J49" s="229">
        <f t="shared" si="18"/>
        <v>0.9374674083533544</v>
      </c>
      <c r="K49" s="229">
        <f t="shared" si="11"/>
        <v>4.1103750007142059</v>
      </c>
      <c r="L49" s="229"/>
      <c r="M49" s="76"/>
      <c r="N49" s="394" t="s">
        <v>6921</v>
      </c>
      <c r="O49" s="394">
        <v>200</v>
      </c>
      <c r="P49" s="372" t="s">
        <v>25</v>
      </c>
    </row>
    <row r="50" spans="1:33" ht="25.5" customHeight="1">
      <c r="A50" s="230" t="s">
        <v>6735</v>
      </c>
      <c r="B50" s="225" t="s">
        <v>4134</v>
      </c>
      <c r="C50" s="224">
        <f>1406.5/(1+$P$3)</f>
        <v>1294.2284307065217</v>
      </c>
      <c r="D50" s="303">
        <f>1117*(1+$P$3)</f>
        <v>1213.8973791066815</v>
      </c>
      <c r="E50" s="227" t="s">
        <v>5140</v>
      </c>
      <c r="F50" s="226">
        <v>434.4</v>
      </c>
      <c r="G50" s="300">
        <f t="shared" si="19"/>
        <v>3571.8227132948068</v>
      </c>
      <c r="H50" s="236">
        <f t="shared" si="17"/>
        <v>2.9793472161752343</v>
      </c>
      <c r="I50" s="228">
        <f>$O$54/$O$55</f>
        <v>2.7558494404883009</v>
      </c>
      <c r="J50" s="229">
        <f t="shared" si="18"/>
        <v>0.92498431385454605</v>
      </c>
      <c r="K50" s="229">
        <f t="shared" si="11"/>
        <v>5.5499414359636567</v>
      </c>
      <c r="L50" s="229"/>
      <c r="M50" s="76"/>
      <c r="N50" s="530" t="s">
        <v>6955</v>
      </c>
      <c r="O50" s="531">
        <v>604</v>
      </c>
      <c r="P50" s="372"/>
      <c r="Q50" s="372" t="s">
        <v>25</v>
      </c>
    </row>
    <row r="51" spans="1:33" ht="21">
      <c r="A51" s="230" t="s">
        <v>6732</v>
      </c>
      <c r="B51" s="225" t="s">
        <v>4134</v>
      </c>
      <c r="C51" s="224">
        <f>1396/(1+$P$3)</f>
        <v>1284.5665760869565</v>
      </c>
      <c r="D51" s="303">
        <f>7000*(1+$P$3)</f>
        <v>7607.2351421188632</v>
      </c>
      <c r="E51" s="227" t="s">
        <v>5140</v>
      </c>
      <c r="F51" s="226">
        <v>430.1</v>
      </c>
      <c r="G51" s="300">
        <f t="shared" si="19"/>
        <v>22438.861467769686</v>
      </c>
      <c r="H51" s="236">
        <f t="shared" si="17"/>
        <v>2.9866695561194057</v>
      </c>
      <c r="I51" s="228">
        <f>$O$54/$O$55</f>
        <v>2.7558494404883009</v>
      </c>
      <c r="J51" s="229">
        <f t="shared" si="18"/>
        <v>0.92271655390929475</v>
      </c>
      <c r="K51" s="229">
        <f t="shared" si="11"/>
        <v>5.8156431770164607</v>
      </c>
      <c r="L51" s="229"/>
      <c r="M51" s="76"/>
      <c r="N51" s="524" t="s">
        <v>6945</v>
      </c>
      <c r="O51" s="524">
        <v>424</v>
      </c>
    </row>
    <row r="52" spans="1:33" ht="23.25" customHeight="1">
      <c r="A52" s="230" t="s">
        <v>6733</v>
      </c>
      <c r="B52" s="225" t="s">
        <v>4134</v>
      </c>
      <c r="C52" s="224">
        <f>1398/(1+$P$3)</f>
        <v>1286.406929347826</v>
      </c>
      <c r="D52" s="303">
        <f>50000*(1+$P$3)</f>
        <v>54337.393872277593</v>
      </c>
      <c r="E52" s="227" t="s">
        <v>5140</v>
      </c>
      <c r="F52" s="226">
        <v>430.74200000000002</v>
      </c>
      <c r="G52" s="300">
        <f t="shared" si="19"/>
        <v>160267.97777198083</v>
      </c>
      <c r="H52" s="236">
        <f t="shared" si="17"/>
        <v>2.9864905891411238</v>
      </c>
      <c r="I52" s="228">
        <f>$O$54/$O$55</f>
        <v>2.7558494404883009</v>
      </c>
      <c r="J52" s="229">
        <f t="shared" si="18"/>
        <v>0.92277184817141777</v>
      </c>
      <c r="K52" s="229">
        <f t="shared" si="11"/>
        <v>5.8091491002482343</v>
      </c>
      <c r="L52" s="229"/>
      <c r="M52" s="35"/>
      <c r="N52" s="337" t="s">
        <v>5595</v>
      </c>
      <c r="O52" s="337">
        <v>151</v>
      </c>
      <c r="P52" s="372"/>
      <c r="Q52" s="495"/>
      <c r="R52" s="504"/>
    </row>
    <row r="53" spans="1:33" ht="25.5" customHeight="1">
      <c r="A53" s="230" t="s">
        <v>6735</v>
      </c>
      <c r="B53" s="225" t="s">
        <v>4134</v>
      </c>
      <c r="C53" s="224">
        <f>1406.5/(1+$P$3)</f>
        <v>1294.2284307065217</v>
      </c>
      <c r="D53" s="303">
        <f>20870*(1+$P$3)</f>
        <v>22680.428202288669</v>
      </c>
      <c r="E53" s="227" t="s">
        <v>5140</v>
      </c>
      <c r="F53" s="226">
        <v>430.1</v>
      </c>
      <c r="G53" s="300">
        <f t="shared" si="19"/>
        <v>67403.049336646029</v>
      </c>
      <c r="H53" s="236">
        <f t="shared" si="17"/>
        <v>3.0091337612334845</v>
      </c>
      <c r="I53" s="228">
        <f>$O$54/$O$55</f>
        <v>2.7558494404883009</v>
      </c>
      <c r="J53" s="229">
        <f t="shared" si="18"/>
        <v>0.91582816157651992</v>
      </c>
      <c r="K53" s="229">
        <f t="shared" si="11"/>
        <v>6.6307894903106401</v>
      </c>
      <c r="L53" s="229"/>
      <c r="M53" s="35"/>
      <c r="N53" s="509" t="s">
        <v>6911</v>
      </c>
      <c r="O53" s="510">
        <v>1300</v>
      </c>
      <c r="P53" s="372"/>
      <c r="Q53" s="372"/>
      <c r="R53" s="504"/>
      <c r="V53" t="s">
        <v>25</v>
      </c>
    </row>
    <row r="54" spans="1:33" ht="21">
      <c r="A54" s="230" t="s">
        <v>6738</v>
      </c>
      <c r="B54" s="225" t="s">
        <v>4134</v>
      </c>
      <c r="C54" s="224">
        <f>1406.5/(1+$P$3)</f>
        <v>1294.2284307065217</v>
      </c>
      <c r="D54" s="303">
        <f>17704*(1+$P$3)</f>
        <v>19239.784422296052</v>
      </c>
      <c r="E54" s="227" t="s">
        <v>5140</v>
      </c>
      <c r="F54" s="226">
        <v>428.87</v>
      </c>
      <c r="G54" s="300">
        <f t="shared" ref="G54:G64" si="20">C54*D54*0.9912/(F54*1.003631981)</f>
        <v>57341.925370211589</v>
      </c>
      <c r="H54" s="236">
        <f t="shared" ref="H54:H64" si="21">C54/F54</f>
        <v>3.0177639627544983</v>
      </c>
      <c r="I54" s="228">
        <f>$O$54/$O$55</f>
        <v>2.7558494404883009</v>
      </c>
      <c r="J54" s="229">
        <f t="shared" si="18"/>
        <v>0.91320907615745672</v>
      </c>
      <c r="K54" s="229">
        <f t="shared" si="11"/>
        <v>6.943948888433793</v>
      </c>
      <c r="L54" s="229"/>
      <c r="M54" s="35"/>
      <c r="N54" s="304" t="s">
        <v>4134</v>
      </c>
      <c r="O54" s="304">
        <v>2709</v>
      </c>
      <c r="P54" s="335">
        <v>170000</v>
      </c>
      <c r="Q54" s="335">
        <v>3429786</v>
      </c>
      <c r="T54" t="s">
        <v>25</v>
      </c>
    </row>
    <row r="55" spans="1:33" ht="21">
      <c r="A55" s="230" t="s">
        <v>6734</v>
      </c>
      <c r="B55" s="225" t="s">
        <v>4134</v>
      </c>
      <c r="C55" s="224">
        <f>1405/(1+$P$3)</f>
        <v>1292.8481657608695</v>
      </c>
      <c r="D55" s="303">
        <f>309*(1+$P$3)</f>
        <v>335.80509413067551</v>
      </c>
      <c r="E55" s="227" t="s">
        <v>5140</v>
      </c>
      <c r="F55" s="226">
        <v>428.2</v>
      </c>
      <c r="G55" s="300">
        <f t="shared" si="20"/>
        <v>1001.3247302578392</v>
      </c>
      <c r="H55" s="236">
        <f t="shared" si="21"/>
        <v>3.0192624142010032</v>
      </c>
      <c r="I55" s="228">
        <f>$O$54/$O$55</f>
        <v>2.7558494404883009</v>
      </c>
      <c r="J55" s="229">
        <f t="shared" si="18"/>
        <v>0.91275585306075158</v>
      </c>
      <c r="K55" s="229">
        <f t="shared" si="11"/>
        <v>6.9983223757691393</v>
      </c>
      <c r="L55" s="229"/>
      <c r="M55" s="76"/>
      <c r="N55" s="305" t="s">
        <v>5140</v>
      </c>
      <c r="O55" s="305">
        <v>983</v>
      </c>
      <c r="P55" s="335">
        <f>P54*Q55/Q54</f>
        <v>55529.62779601993</v>
      </c>
      <c r="Q55" s="335">
        <v>1120322</v>
      </c>
      <c r="R55">
        <v>11211</v>
      </c>
      <c r="S55">
        <f>R55*Q54/P54</f>
        <v>226184.29909411765</v>
      </c>
      <c r="T55" t="s">
        <v>25</v>
      </c>
    </row>
    <row r="56" spans="1:33" ht="21" customHeight="1">
      <c r="A56" s="230" t="s">
        <v>6735</v>
      </c>
      <c r="B56" s="225" t="s">
        <v>4134</v>
      </c>
      <c r="C56" s="224">
        <f>1426/(1+$P$3)</f>
        <v>1312.171875</v>
      </c>
      <c r="D56" s="303">
        <f>7841*(1+$P$3)</f>
        <v>8521.1901070505719</v>
      </c>
      <c r="E56" s="227" t="s">
        <v>5140</v>
      </c>
      <c r="F56" s="226">
        <v>430</v>
      </c>
      <c r="G56" s="300">
        <f t="shared" si="20"/>
        <v>25680.845932717737</v>
      </c>
      <c r="H56" s="236">
        <f t="shared" si="21"/>
        <v>3.0515625000000002</v>
      </c>
      <c r="I56" s="228">
        <f>$O$54/$O$55</f>
        <v>2.7558494404883009</v>
      </c>
      <c r="J56" s="229">
        <f t="shared" si="18"/>
        <v>0.90309454270993983</v>
      </c>
      <c r="K56" s="229">
        <f t="shared" si="11"/>
        <v>8.1703779069767446</v>
      </c>
      <c r="L56" s="229"/>
      <c r="N56" s="314" t="s">
        <v>4542</v>
      </c>
      <c r="O56" s="315">
        <v>697</v>
      </c>
      <c r="P56" s="335">
        <f>P54-P55</f>
        <v>114470.37220398008</v>
      </c>
      <c r="Q56" s="335">
        <f>Q54-Q55</f>
        <v>2309464</v>
      </c>
      <c r="R56" s="372"/>
      <c r="S56" s="372"/>
    </row>
    <row r="57" spans="1:33" ht="19.5" customHeight="1">
      <c r="A57" s="230" t="s">
        <v>6735</v>
      </c>
      <c r="B57" s="225" t="s">
        <v>4134</v>
      </c>
      <c r="C57" s="224">
        <f>1459.5/(1+$P$3)</f>
        <v>1342.9977921195652</v>
      </c>
      <c r="D57" s="303">
        <f>23718*(1+$P$3)</f>
        <v>25775.486157253599</v>
      </c>
      <c r="E57" s="227" t="s">
        <v>5140</v>
      </c>
      <c r="F57" s="226">
        <v>440</v>
      </c>
      <c r="G57" s="300">
        <f t="shared" si="20"/>
        <v>77699.153820516891</v>
      </c>
      <c r="H57" s="236">
        <f t="shared" si="21"/>
        <v>3.0522677093626482</v>
      </c>
      <c r="I57" s="228">
        <f>$O$54/$O$55</f>
        <v>2.7558494404883009</v>
      </c>
      <c r="J57" s="229">
        <f t="shared" si="18"/>
        <v>0.90288588777285095</v>
      </c>
      <c r="K57" s="229">
        <f t="shared" si="11"/>
        <v>8.1959674530632363</v>
      </c>
      <c r="L57" s="229"/>
      <c r="N57" s="316" t="s">
        <v>5593</v>
      </c>
      <c r="O57" s="314">
        <v>2179</v>
      </c>
      <c r="P57" s="362">
        <f>O57*(1+20/81.5)+215-2000/81.5</f>
        <v>2904.1840490797545</v>
      </c>
      <c r="Q57" s="504"/>
      <c r="R57" s="372"/>
      <c r="S57" s="372"/>
      <c r="T57" t="s">
        <v>25</v>
      </c>
      <c r="V57" t="s">
        <v>25</v>
      </c>
      <c r="AC57" s="357"/>
      <c r="AD57" s="357"/>
      <c r="AE57" s="357"/>
      <c r="AF57" s="357"/>
      <c r="AG57" s="357"/>
    </row>
    <row r="58" spans="1:33" ht="20.25" customHeight="1">
      <c r="A58" s="230" t="s">
        <v>6738</v>
      </c>
      <c r="B58" s="225" t="s">
        <v>4134</v>
      </c>
      <c r="C58" s="224">
        <f>1432/(1+$P$3)</f>
        <v>1317.6929347826087</v>
      </c>
      <c r="D58" s="303">
        <f>18604*(1+$P$3)</f>
        <v>20217.857511997048</v>
      </c>
      <c r="E58" s="227" t="s">
        <v>5140</v>
      </c>
      <c r="F58" s="226">
        <v>430.5</v>
      </c>
      <c r="G58" s="300">
        <f t="shared" si="20"/>
        <v>61117.135996457182</v>
      </c>
      <c r="H58" s="236">
        <f t="shared" si="21"/>
        <v>3.060843054082715</v>
      </c>
      <c r="I58" s="228">
        <f>$O$54/$O$55</f>
        <v>2.7558494404883009</v>
      </c>
      <c r="J58" s="229">
        <f t="shared" si="18"/>
        <v>0.90035633705962237</v>
      </c>
      <c r="K58" s="229">
        <f t="shared" si="11"/>
        <v>8.5071362924809435</v>
      </c>
      <c r="L58" s="229"/>
      <c r="N58" s="316" t="s">
        <v>6831</v>
      </c>
      <c r="O58" s="316">
        <v>22900</v>
      </c>
      <c r="P58" s="504"/>
      <c r="Q58" s="504"/>
      <c r="R58" s="360" t="s">
        <v>25</v>
      </c>
      <c r="W58" s="460"/>
      <c r="X58" s="460"/>
      <c r="Y58" s="460"/>
      <c r="Z58" s="460"/>
      <c r="AC58" s="357"/>
      <c r="AD58" s="357"/>
      <c r="AE58" s="357"/>
      <c r="AF58" s="357"/>
      <c r="AG58" s="357"/>
    </row>
    <row r="59" spans="1:33" ht="23.25">
      <c r="A59" s="230" t="s">
        <v>6735</v>
      </c>
      <c r="B59" s="225" t="s">
        <v>4134</v>
      </c>
      <c r="C59" s="224">
        <f>1432/(1+$P$3)</f>
        <v>1317.6929347826087</v>
      </c>
      <c r="D59" s="303">
        <f>2280*(1+$P$3)</f>
        <v>2477.7851605758583</v>
      </c>
      <c r="E59" s="227" t="s">
        <v>5140</v>
      </c>
      <c r="F59" s="226">
        <v>430</v>
      </c>
      <c r="G59" s="300">
        <f t="shared" si="20"/>
        <v>7498.8766689287349</v>
      </c>
      <c r="H59" s="236">
        <f t="shared" si="21"/>
        <v>3.0644021739130438</v>
      </c>
      <c r="I59" s="228">
        <f>$O$54/$O$55</f>
        <v>2.7558494404883009</v>
      </c>
      <c r="J59" s="229">
        <f t="shared" si="18"/>
        <v>0.8993106270281942</v>
      </c>
      <c r="K59" s="229">
        <f t="shared" si="11"/>
        <v>8.6362841253791789</v>
      </c>
      <c r="L59" s="229"/>
      <c r="N59" s="313" t="s">
        <v>6849</v>
      </c>
      <c r="O59" s="316">
        <v>14635</v>
      </c>
      <c r="P59" s="504"/>
      <c r="Q59" s="504"/>
      <c r="S59" s="372"/>
      <c r="V59" s="562" t="s">
        <v>7009</v>
      </c>
      <c r="W59" s="460"/>
      <c r="X59" s="460"/>
      <c r="Y59" s="460"/>
      <c r="Z59" s="460"/>
      <c r="AC59" s="357"/>
      <c r="AD59" s="357"/>
      <c r="AE59" s="357"/>
      <c r="AF59" s="357"/>
      <c r="AG59" s="357"/>
    </row>
    <row r="60" spans="1:33" ht="26.25">
      <c r="A60" s="230" t="s">
        <v>6739</v>
      </c>
      <c r="B60" s="225" t="s">
        <v>4134</v>
      </c>
      <c r="C60" s="224">
        <f>1396/(1+$P$3)</f>
        <v>1284.5665760869565</v>
      </c>
      <c r="D60" s="303">
        <f>118210*(1+$P$3)</f>
        <v>128464.4665928387</v>
      </c>
      <c r="E60" s="227" t="s">
        <v>5140</v>
      </c>
      <c r="F60" s="226">
        <v>418.74299999999999</v>
      </c>
      <c r="G60" s="300">
        <f t="shared" si="20"/>
        <v>389205.4177951577</v>
      </c>
      <c r="H60" s="236">
        <f t="shared" si="21"/>
        <v>3.0676729547406323</v>
      </c>
      <c r="I60" s="228">
        <f>$O$54/$O$55</f>
        <v>2.7558494404883009</v>
      </c>
      <c r="J60" s="229">
        <f t="shared" si="18"/>
        <v>0.8983517738517548</v>
      </c>
      <c r="K60" s="229">
        <f>(1/J60-1.0256)*100</f>
        <v>8.7549691587316847</v>
      </c>
      <c r="L60" s="229"/>
      <c r="N60" s="317" t="s">
        <v>5154</v>
      </c>
      <c r="O60" s="313">
        <v>332</v>
      </c>
      <c r="P60" s="358">
        <f>58218*(1+P3)</f>
        <v>63268.287929125137</v>
      </c>
      <c r="Q60" s="358">
        <f>P60*O54*1.003632/(O62*0.9912)</f>
        <v>7997.3952464891045</v>
      </c>
      <c r="R60" s="361" t="s">
        <v>4716</v>
      </c>
      <c r="S60" s="361"/>
      <c r="T60" s="361"/>
      <c r="V60" s="562">
        <v>42955</v>
      </c>
      <c r="W60" s="460"/>
      <c r="X60" s="460"/>
      <c r="Y60" s="460"/>
      <c r="Z60" s="460"/>
      <c r="AC60" s="357"/>
      <c r="AD60" s="357"/>
      <c r="AE60" s="357"/>
      <c r="AF60" s="357"/>
      <c r="AG60" s="357"/>
    </row>
    <row r="61" spans="1:33" ht="26.25">
      <c r="A61" s="230" t="s">
        <v>6780</v>
      </c>
      <c r="B61" s="225" t="s">
        <v>4134</v>
      </c>
      <c r="C61" s="224">
        <f>1339.8/(1+$P$3)</f>
        <v>1232.8526494565217</v>
      </c>
      <c r="D61" s="303">
        <f>7264*(1+$P$3)</f>
        <v>7894.1365817644892</v>
      </c>
      <c r="E61" s="227" t="s">
        <v>5140</v>
      </c>
      <c r="F61" s="226">
        <v>400.65</v>
      </c>
      <c r="G61" s="300">
        <f t="shared" si="20"/>
        <v>23990.398581482994</v>
      </c>
      <c r="H61" s="236">
        <f t="shared" si="21"/>
        <v>3.0771312853026878</v>
      </c>
      <c r="I61" s="228">
        <f>$O$54/$O$55</f>
        <v>2.7558494404883009</v>
      </c>
      <c r="J61" s="229">
        <f>I61/H61</f>
        <v>0.89559046559081623</v>
      </c>
      <c r="K61" s="229">
        <f t="shared" ref="K61" si="22">(1/J61-1.0256)*100</f>
        <v>9.0981784220207409</v>
      </c>
      <c r="L61" s="229"/>
      <c r="N61" s="348" t="s">
        <v>4400</v>
      </c>
      <c r="O61" s="317">
        <v>1210</v>
      </c>
      <c r="P61" s="358">
        <v>238071</v>
      </c>
      <c r="Q61" s="358">
        <f>P61*O56*1.003632/(O62*0.9912)</f>
        <v>7742.7056107006165</v>
      </c>
      <c r="R61" s="361">
        <v>16320</v>
      </c>
      <c r="S61" s="361">
        <f>R61*1.0127</f>
        <v>16527.263999999999</v>
      </c>
      <c r="T61" s="361">
        <v>6492</v>
      </c>
      <c r="V61" s="5">
        <v>163318</v>
      </c>
      <c r="W61" s="460"/>
      <c r="X61" s="460"/>
      <c r="Y61" s="460"/>
      <c r="Z61" s="460"/>
      <c r="AC61" s="357"/>
      <c r="AD61" s="357"/>
      <c r="AE61" s="357"/>
      <c r="AF61" s="357"/>
      <c r="AG61" s="357"/>
    </row>
    <row r="62" spans="1:33" ht="24" customHeight="1">
      <c r="A62" s="230" t="s">
        <v>6839</v>
      </c>
      <c r="B62" s="225" t="s">
        <v>4134</v>
      </c>
      <c r="C62" s="224">
        <f>1865.27/(1+$P$3)</f>
        <v>1716.3778634510868</v>
      </c>
      <c r="D62" s="303">
        <f>79338*(1+$P$3)</f>
        <v>86220.403100775191</v>
      </c>
      <c r="E62" s="373" t="s">
        <v>5140</v>
      </c>
      <c r="F62" s="226">
        <v>550</v>
      </c>
      <c r="G62" s="376">
        <f t="shared" si="20"/>
        <v>265733.9638321469</v>
      </c>
      <c r="H62" s="236">
        <f t="shared" si="21"/>
        <v>3.1206870244565215</v>
      </c>
      <c r="I62" s="228">
        <f>$O$54/$O$55</f>
        <v>2.7558494404883009</v>
      </c>
      <c r="J62" s="374">
        <f>I62/H62</f>
        <v>0.88309062039575781</v>
      </c>
      <c r="K62" s="374">
        <f t="shared" ref="K62" si="23">(1/J62-1.0256)*100</f>
        <v>10.678661684782597</v>
      </c>
      <c r="L62" s="374"/>
      <c r="M62" s="357" t="s">
        <v>25</v>
      </c>
      <c r="N62" s="316" t="s">
        <v>4716</v>
      </c>
      <c r="O62" s="348">
        <v>21700</v>
      </c>
      <c r="P62" s="372"/>
      <c r="V62" s="460"/>
      <c r="W62" s="460"/>
      <c r="X62" s="460"/>
      <c r="Y62" s="460"/>
      <c r="Z62" s="460"/>
      <c r="AC62" s="357"/>
      <c r="AD62" s="357"/>
      <c r="AE62" s="357"/>
      <c r="AF62" s="357"/>
      <c r="AG62" s="357"/>
    </row>
    <row r="63" spans="1:33" ht="21">
      <c r="A63" s="230" t="s">
        <v>6839</v>
      </c>
      <c r="B63" s="225" t="s">
        <v>4134</v>
      </c>
      <c r="C63" s="224">
        <f>1880/(1+$P$3)</f>
        <v>1729.9320652173913</v>
      </c>
      <c r="D63" s="303">
        <f>103934*(1+$P$3)</f>
        <v>112950.05389442599</v>
      </c>
      <c r="E63" s="373" t="s">
        <v>5140</v>
      </c>
      <c r="F63" s="226">
        <v>547.30999999999995</v>
      </c>
      <c r="G63" s="376">
        <f t="shared" si="20"/>
        <v>352589.12200461928</v>
      </c>
      <c r="H63" s="236">
        <f t="shared" si="21"/>
        <v>3.1607901650205394</v>
      </c>
      <c r="I63" s="228">
        <f>$O$54/$O$55</f>
        <v>2.7558494404883009</v>
      </c>
      <c r="J63" s="374">
        <f>I63/H63</f>
        <v>0.87188623622865291</v>
      </c>
      <c r="K63" s="374">
        <f t="shared" ref="K63" si="24">(1/J63-1.0256)*100</f>
        <v>12.133862392587314</v>
      </c>
      <c r="L63" s="374"/>
      <c r="M63" s="357" t="s">
        <v>25</v>
      </c>
      <c r="N63" s="316" t="s">
        <v>6852</v>
      </c>
      <c r="O63" s="316">
        <v>15500</v>
      </c>
      <c r="P63" s="372"/>
      <c r="V63" s="460"/>
      <c r="W63" s="460"/>
      <c r="X63" s="460"/>
      <c r="Y63" s="460"/>
      <c r="Z63" s="460"/>
      <c r="AC63" s="357"/>
      <c r="AD63" s="357"/>
      <c r="AE63" s="357"/>
      <c r="AF63" s="357"/>
      <c r="AG63" s="357"/>
    </row>
    <row r="64" spans="1:33" ht="21.75" customHeight="1">
      <c r="A64" s="230" t="s">
        <v>6874</v>
      </c>
      <c r="B64" s="225" t="s">
        <v>4134</v>
      </c>
      <c r="C64" s="224">
        <f>1993.83/(1+$P$3)</f>
        <v>1834.6757710597824</v>
      </c>
      <c r="D64" s="303">
        <f>269232*(1+$P$3)</f>
        <v>292587.30454042082</v>
      </c>
      <c r="E64" s="373" t="s">
        <v>5140</v>
      </c>
      <c r="F64" s="226">
        <v>572.31500000000005</v>
      </c>
      <c r="G64" s="376">
        <f t="shared" si="20"/>
        <v>926331.5940768919</v>
      </c>
      <c r="H64" s="236">
        <f t="shared" si="21"/>
        <v>3.2057097421171594</v>
      </c>
      <c r="I64" s="228">
        <f>$O$54/$O$55</f>
        <v>2.7558494404883009</v>
      </c>
      <c r="J64" s="374">
        <f>I64/H64</f>
        <v>0.85966904747534767</v>
      </c>
      <c r="K64" s="374">
        <f t="shared" ref="K64" si="25">(1/J64-1.0256)*100</f>
        <v>13.763834496167139</v>
      </c>
      <c r="L64" s="374"/>
      <c r="M64" t="s">
        <v>25</v>
      </c>
      <c r="W64" s="460"/>
      <c r="X64" s="460"/>
      <c r="Y64" s="460"/>
      <c r="Z64" s="460"/>
      <c r="AC64" s="357"/>
      <c r="AD64" s="357"/>
      <c r="AE64" s="357"/>
      <c r="AF64" s="357"/>
      <c r="AG64" s="357"/>
    </row>
    <row r="65" spans="1:35" ht="18.75">
      <c r="A65" s="230"/>
      <c r="B65" s="225"/>
      <c r="C65" s="224"/>
      <c r="D65" s="303"/>
      <c r="E65" s="373"/>
      <c r="F65" s="226"/>
      <c r="G65" s="376"/>
      <c r="H65" s="236"/>
      <c r="I65" s="228"/>
      <c r="J65" s="374"/>
      <c r="K65" s="374"/>
      <c r="L65" s="374"/>
      <c r="M65" s="551"/>
      <c r="W65" s="460"/>
      <c r="X65" s="460"/>
      <c r="Y65" s="460"/>
      <c r="Z65" s="460"/>
      <c r="AC65" s="357"/>
      <c r="AD65" s="357"/>
      <c r="AE65" s="357"/>
      <c r="AF65" s="357"/>
      <c r="AG65" s="357"/>
    </row>
    <row r="66" spans="1:35" ht="18.75">
      <c r="A66" s="230" t="s">
        <v>6988</v>
      </c>
      <c r="B66" s="225" t="s">
        <v>4134</v>
      </c>
      <c r="C66" s="224">
        <v>2500</v>
      </c>
      <c r="D66" s="303">
        <f>5782.1*(1+$P$3)</f>
        <v>6283.6849021779262</v>
      </c>
      <c r="E66" s="442" t="s">
        <v>5595</v>
      </c>
      <c r="F66" s="443">
        <v>146.57</v>
      </c>
      <c r="G66" s="506">
        <f t="shared" ref="G66:G70" si="26">C66*D66*0.9912/(F66*1.003631981)</f>
        <v>105851.28180332042</v>
      </c>
      <c r="H66" s="444">
        <f t="shared" ref="H66:H67" si="27">C66/F66</f>
        <v>17.056696459029816</v>
      </c>
      <c r="I66" s="505">
        <f>$O$54/$O$52</f>
        <v>17.940397350993379</v>
      </c>
      <c r="J66" s="444">
        <f t="shared" ref="J66:J67" si="28">I66/H66</f>
        <v>1.0518096158940398</v>
      </c>
      <c r="K66" s="445">
        <f t="shared" ref="K66" si="29">(1/J66-1.0256)*100</f>
        <v>-7.4857598629198279</v>
      </c>
      <c r="L66" s="374"/>
      <c r="M66" s="508"/>
      <c r="W66" s="460"/>
      <c r="X66" s="460"/>
      <c r="Y66" s="460"/>
      <c r="Z66" s="460"/>
      <c r="AC66" s="357"/>
      <c r="AD66" s="357"/>
      <c r="AE66" s="357"/>
      <c r="AF66" s="357"/>
      <c r="AG66" s="357"/>
    </row>
    <row r="67" spans="1:35" ht="25.5" customHeight="1">
      <c r="A67" s="230" t="s">
        <v>6988</v>
      </c>
      <c r="B67" s="225" t="s">
        <v>4134</v>
      </c>
      <c r="C67" s="224">
        <v>2520</v>
      </c>
      <c r="D67" s="303">
        <f>141381*(1+$P$3)</f>
        <v>153645.50166112959</v>
      </c>
      <c r="E67" s="442" t="s">
        <v>5595</v>
      </c>
      <c r="F67" s="443">
        <v>146.57</v>
      </c>
      <c r="G67" s="506">
        <f t="shared" si="26"/>
        <v>2608928.0630249088</v>
      </c>
      <c r="H67" s="444">
        <f t="shared" si="27"/>
        <v>17.193150030702053</v>
      </c>
      <c r="I67" s="505">
        <f>$O$54/$O$52</f>
        <v>17.940397350993379</v>
      </c>
      <c r="J67" s="444">
        <f t="shared" si="28"/>
        <v>1.0434619205298015</v>
      </c>
      <c r="K67" s="445">
        <f t="shared" ref="K67" si="30">(1/J67-1.0256)*100</f>
        <v>-6.7251659418231968</v>
      </c>
      <c r="L67" s="374"/>
      <c r="M67" s="508"/>
      <c r="W67" s="460"/>
      <c r="X67" s="460"/>
      <c r="Y67" s="460"/>
      <c r="Z67" s="460"/>
      <c r="AC67" s="357"/>
      <c r="AD67" s="357"/>
      <c r="AE67" s="357"/>
      <c r="AF67" s="357"/>
      <c r="AG67" s="357"/>
    </row>
    <row r="68" spans="1:35" ht="18.75">
      <c r="A68" s="230" t="s">
        <v>6967</v>
      </c>
      <c r="B68" s="225" t="s">
        <v>4134</v>
      </c>
      <c r="C68" s="224">
        <f>2941.9/(1+$P$3)</f>
        <v>2707.0676290760871</v>
      </c>
      <c r="D68" s="303">
        <f>55530*(1+$P$3)</f>
        <v>60347.109634551496</v>
      </c>
      <c r="E68" s="442" t="s">
        <v>5595</v>
      </c>
      <c r="F68" s="443">
        <v>144.01130000000001</v>
      </c>
      <c r="G68" s="506">
        <f t="shared" si="26"/>
        <v>1120329.5999711223</v>
      </c>
      <c r="H68" s="444">
        <f t="shared" ref="H68" si="31">C68/F68</f>
        <v>18.797605667583635</v>
      </c>
      <c r="I68" s="505">
        <f>$O$54/$O$52</f>
        <v>17.940397350993379</v>
      </c>
      <c r="J68" s="444">
        <f t="shared" ref="J68" si="32">I68/H68</f>
        <v>0.95439800516357742</v>
      </c>
      <c r="K68" s="445">
        <f t="shared" ref="K68" si="33">(1/J68-1.0256)*100</f>
        <v>2.2180899152871358</v>
      </c>
      <c r="L68" s="547" t="s">
        <v>6856</v>
      </c>
      <c r="M68" s="546"/>
      <c r="W68" s="460"/>
      <c r="X68" s="460"/>
      <c r="Y68" s="460"/>
      <c r="Z68" s="460"/>
      <c r="AC68" s="357"/>
      <c r="AD68" s="357"/>
      <c r="AE68" s="357"/>
      <c r="AF68" s="357"/>
      <c r="AG68" s="357"/>
    </row>
    <row r="69" spans="1:35" ht="18.75">
      <c r="A69" s="230" t="s">
        <v>6967</v>
      </c>
      <c r="B69" s="225" t="s">
        <v>4134</v>
      </c>
      <c r="C69" s="224">
        <f>2968/(1+$P$3)</f>
        <v>2731.0842391304345</v>
      </c>
      <c r="D69" s="303">
        <f>198176.11*(1+$P$3)</f>
        <v>215367.4669029162</v>
      </c>
      <c r="E69" s="442" t="s">
        <v>5595</v>
      </c>
      <c r="F69" s="443">
        <v>144.30000000000001</v>
      </c>
      <c r="G69" s="506">
        <f t="shared" si="26"/>
        <v>4025646.7830094844</v>
      </c>
      <c r="H69" s="444">
        <f t="shared" ref="H69" si="34">C69/F69</f>
        <v>18.926432703606615</v>
      </c>
      <c r="I69" s="505">
        <f>$O$54/$O$52</f>
        <v>17.940397350993379</v>
      </c>
      <c r="J69" s="444">
        <f t="shared" ref="J69" si="35">I69/H69</f>
        <v>0.94790167972724537</v>
      </c>
      <c r="K69" s="445">
        <f t="shared" ref="K69" si="36">(1/J69-1.0256)*100</f>
        <v>2.9361734309560017</v>
      </c>
      <c r="L69" s="547" t="s">
        <v>690</v>
      </c>
      <c r="M69" s="546"/>
      <c r="X69" s="460"/>
      <c r="Y69" s="460"/>
      <c r="Z69" s="460"/>
      <c r="AA69" s="460"/>
      <c r="AB69" s="460"/>
      <c r="AE69" s="357"/>
      <c r="AF69" s="357"/>
      <c r="AG69" s="357"/>
      <c r="AH69" s="357"/>
      <c r="AI69" s="357"/>
    </row>
    <row r="70" spans="1:35" ht="18.75">
      <c r="A70" s="230" t="s">
        <v>6967</v>
      </c>
      <c r="B70" s="225" t="s">
        <v>4134</v>
      </c>
      <c r="C70" s="224">
        <f>2959/(1+$P$3)</f>
        <v>2722.8026494565215</v>
      </c>
      <c r="D70" s="303">
        <f>50982.75*(1+$P$3)</f>
        <v>55405.395348837214</v>
      </c>
      <c r="E70" s="442" t="s">
        <v>5595</v>
      </c>
      <c r="F70" s="443">
        <v>146.25</v>
      </c>
      <c r="G70" s="506">
        <f t="shared" si="26"/>
        <v>1018730.1264167267</v>
      </c>
      <c r="H70" s="444">
        <f t="shared" ref="H70" si="37">C70/F70</f>
        <v>18.617454013377923</v>
      </c>
      <c r="I70" s="505">
        <f>$O$54/$O$52</f>
        <v>17.940397350993379</v>
      </c>
      <c r="J70" s="444">
        <f t="shared" ref="J70" si="38">I70/H70</f>
        <v>0.96363323030646231</v>
      </c>
      <c r="K70" s="445">
        <f t="shared" ref="K70" si="39">(1/J70-1.0256)*100</f>
        <v>1.2139223337048977</v>
      </c>
      <c r="L70" s="547" t="s">
        <v>5282</v>
      </c>
      <c r="M70" s="546"/>
      <c r="X70" s="460"/>
      <c r="Y70" s="460"/>
      <c r="Z70" s="460"/>
      <c r="AA70" s="460"/>
      <c r="AB70" s="460"/>
      <c r="AE70" s="357"/>
      <c r="AF70" s="357"/>
      <c r="AG70" s="357"/>
      <c r="AH70" s="357"/>
      <c r="AI70" s="357"/>
    </row>
    <row r="71" spans="1:35" ht="18.75">
      <c r="A71" s="230" t="s">
        <v>6967</v>
      </c>
      <c r="B71" s="225" t="s">
        <v>4134</v>
      </c>
      <c r="C71" s="224">
        <f>2978.61/(1+$P$3)</f>
        <v>2740.847313179348</v>
      </c>
      <c r="D71" s="303">
        <f>210973*(1+$P$3)</f>
        <v>229274.45994832041</v>
      </c>
      <c r="E71" s="442" t="s">
        <v>5595</v>
      </c>
      <c r="F71" s="443">
        <v>146.16900000000001</v>
      </c>
      <c r="G71" s="506">
        <f t="shared" ref="G71" si="40">C71*D71*0.9912/(F71*1.003631981)</f>
        <v>4245922.3506606901</v>
      </c>
      <c r="H71" s="444">
        <f t="shared" ref="H71" si="41">C71/F71</f>
        <v>18.751221621406369</v>
      </c>
      <c r="I71" s="505">
        <f>$O$54/$O$52</f>
        <v>17.940397350993379</v>
      </c>
      <c r="J71" s="444">
        <f t="shared" ref="J71" si="42">I71/H71</f>
        <v>0.95675885620767476</v>
      </c>
      <c r="K71" s="445">
        <f t="shared" ref="K71" si="43">(1/J71-1.0256)*100</f>
        <v>1.9595446597401756</v>
      </c>
      <c r="L71" s="547" t="s">
        <v>422</v>
      </c>
      <c r="M71" s="561"/>
      <c r="N71" s="561"/>
      <c r="O71" s="561"/>
      <c r="P71" s="561"/>
      <c r="Q71" s="561"/>
      <c r="R71" s="561"/>
      <c r="X71" s="460"/>
      <c r="Y71" s="460"/>
      <c r="Z71" s="460"/>
      <c r="AA71" s="460"/>
      <c r="AB71" s="460"/>
      <c r="AE71" s="357"/>
      <c r="AF71" s="357"/>
      <c r="AG71" s="357"/>
      <c r="AH71" s="357"/>
      <c r="AI71" s="357"/>
    </row>
    <row r="72" spans="1:35" ht="27.75" customHeight="1">
      <c r="A72" s="230" t="s">
        <v>6953</v>
      </c>
      <c r="B72" s="225" t="s">
        <v>4134</v>
      </c>
      <c r="C72" s="224">
        <f>2771.422987/(1+$P$3)</f>
        <v>2550.19866568716</v>
      </c>
      <c r="D72" s="303">
        <f>960215.5*(1+$P$3)</f>
        <v>1043512.1565153194</v>
      </c>
      <c r="E72" s="442" t="s">
        <v>5595</v>
      </c>
      <c r="F72" s="443">
        <v>142.19999999999999</v>
      </c>
      <c r="G72" s="506">
        <f t="shared" ref="G72:G74" si="44">C72*D72*0.9912/(F72*1.003631981)</f>
        <v>18482415.62165736</v>
      </c>
      <c r="H72" s="444">
        <f t="shared" ref="H72:H74" si="45">C72/F72</f>
        <v>17.933886537884391</v>
      </c>
      <c r="I72" s="505">
        <f t="shared" ref="I72:I75" si="46">$O$54/$O$52</f>
        <v>17.940397350993379</v>
      </c>
      <c r="J72" s="444">
        <f t="shared" ref="J72:J74" si="47">I72/H72</f>
        <v>1.0003630452939041</v>
      </c>
      <c r="K72" s="445">
        <f t="shared" ref="K72:K74" si="48">(1/J72-1.0256)*100</f>
        <v>-2.5962913539851362</v>
      </c>
      <c r="L72" s="547" t="s">
        <v>422</v>
      </c>
      <c r="M72" s="561">
        <v>18482415.62235399</v>
      </c>
      <c r="N72" s="561">
        <f>M72/G72</f>
        <v>1.0000000000376914</v>
      </c>
      <c r="O72" s="561">
        <f>N72*2668</f>
        <v>2668.0000001005606</v>
      </c>
      <c r="P72" s="561"/>
      <c r="Q72" s="561"/>
      <c r="R72" s="561"/>
      <c r="X72" s="460"/>
      <c r="Y72" s="460"/>
      <c r="Z72" s="460"/>
      <c r="AA72" s="460"/>
      <c r="AB72" s="460"/>
      <c r="AE72" s="357"/>
      <c r="AF72" s="357"/>
      <c r="AG72" s="357"/>
      <c r="AH72" s="357"/>
      <c r="AI72" s="357"/>
    </row>
    <row r="73" spans="1:35" ht="18.75">
      <c r="A73" s="230" t="s">
        <v>6967</v>
      </c>
      <c r="B73" s="225" t="s">
        <v>4134</v>
      </c>
      <c r="C73" s="224">
        <f>2934.969225/(1+$P$3)</f>
        <v>2700.6900918902852</v>
      </c>
      <c r="D73" s="303">
        <f>10000*(1+$P$3)</f>
        <v>10867.47877445552</v>
      </c>
      <c r="E73" s="442" t="s">
        <v>5595</v>
      </c>
      <c r="F73" s="443">
        <v>146.16900000000001</v>
      </c>
      <c r="G73" s="506">
        <f t="shared" si="44"/>
        <v>198305.64522055117</v>
      </c>
      <c r="H73" s="444">
        <f t="shared" si="45"/>
        <v>18.47649017158416</v>
      </c>
      <c r="I73" s="505">
        <f t="shared" si="46"/>
        <v>17.940397350993379</v>
      </c>
      <c r="J73" s="444">
        <f t="shared" si="47"/>
        <v>0.97098513756604798</v>
      </c>
      <c r="K73" s="445">
        <f t="shared" si="48"/>
        <v>0.42818811034357473</v>
      </c>
      <c r="L73" s="547" t="s">
        <v>422</v>
      </c>
      <c r="M73" s="561">
        <v>198305.64521374617</v>
      </c>
      <c r="N73" s="561">
        <f t="shared" ref="N73:N74" si="49">M73/G73</f>
        <v>0.99999999996568434</v>
      </c>
      <c r="O73" s="561">
        <f>N73*2812</f>
        <v>2811.9999999035044</v>
      </c>
      <c r="P73" s="561"/>
      <c r="Q73" s="561"/>
      <c r="R73" s="561"/>
      <c r="X73" s="460"/>
      <c r="Y73" s="460"/>
      <c r="Z73" s="460"/>
      <c r="AA73" s="460"/>
      <c r="AB73" s="460"/>
      <c r="AE73" s="357"/>
      <c r="AF73" s="357"/>
      <c r="AG73" s="357"/>
      <c r="AH73" s="357"/>
      <c r="AI73" s="357"/>
    </row>
    <row r="74" spans="1:35" ht="18.75">
      <c r="A74" s="230" t="s">
        <v>6967</v>
      </c>
      <c r="B74" s="225" t="s">
        <v>4134</v>
      </c>
      <c r="C74" s="224">
        <f>3025.251884/(1+$P$3)</f>
        <v>2783.7660848355977</v>
      </c>
      <c r="D74" s="303">
        <f>93138.6*(1+$P$3)</f>
        <v>101218.17585825028</v>
      </c>
      <c r="E74" s="442" t="s">
        <v>5595</v>
      </c>
      <c r="F74" s="443">
        <v>146.16900000000001</v>
      </c>
      <c r="G74" s="506">
        <f t="shared" si="44"/>
        <v>1903806.3519343268</v>
      </c>
      <c r="H74" s="444">
        <f t="shared" si="45"/>
        <v>19.044845930639173</v>
      </c>
      <c r="I74" s="505">
        <f t="shared" si="46"/>
        <v>17.940397350993379</v>
      </c>
      <c r="J74" s="444">
        <f t="shared" si="47"/>
        <v>0.94200800659306105</v>
      </c>
      <c r="K74" s="445">
        <f t="shared" si="48"/>
        <v>3.5962102446110977</v>
      </c>
      <c r="L74" s="547" t="s">
        <v>422</v>
      </c>
      <c r="M74" s="546">
        <v>1903806.3520602272</v>
      </c>
      <c r="N74" s="561">
        <f t="shared" si="49"/>
        <v>1.0000000000661309</v>
      </c>
      <c r="O74" s="561">
        <f>N74*2898.5</f>
        <v>2898.5000001916806</v>
      </c>
      <c r="X74" s="460"/>
      <c r="Y74" s="460"/>
      <c r="Z74" s="460"/>
      <c r="AA74" s="460"/>
      <c r="AB74" s="460"/>
      <c r="AE74" s="357"/>
      <c r="AF74" s="357"/>
      <c r="AG74" s="357"/>
      <c r="AH74" s="357"/>
      <c r="AI74" s="357"/>
    </row>
    <row r="75" spans="1:35" ht="21" customHeight="1">
      <c r="A75" s="230" t="s">
        <v>6953</v>
      </c>
      <c r="B75" s="225" t="s">
        <v>4134</v>
      </c>
      <c r="C75" s="224">
        <f>2678.420819/(1+$P$3)</f>
        <v>2464.6202441137907</v>
      </c>
      <c r="D75" s="303">
        <f>12887.25*(1+$P$3)</f>
        <v>14005.191583610189</v>
      </c>
      <c r="E75" s="442" t="s">
        <v>5595</v>
      </c>
      <c r="F75" s="443">
        <v>142.19999999999999</v>
      </c>
      <c r="G75" s="506">
        <f t="shared" ref="G75" si="50">C75*D75*0.9912/(F75*1.003631981)</f>
        <v>239732.14471263345</v>
      </c>
      <c r="H75" s="444">
        <f t="shared" ref="H75" si="51">C75/F75</f>
        <v>17.332069227241849</v>
      </c>
      <c r="I75" s="505">
        <f t="shared" si="46"/>
        <v>17.940397350993379</v>
      </c>
      <c r="J75" s="444">
        <f t="shared" ref="J75" si="52">I75/H75</f>
        <v>1.0350984129924536</v>
      </c>
      <c r="K75" s="445">
        <f t="shared" ref="K75" si="53">(1/J75-1.0256)*100</f>
        <v>-5.9508285967693419</v>
      </c>
      <c r="L75" s="547" t="s">
        <v>422</v>
      </c>
      <c r="M75" s="561">
        <v>239732.14474268089</v>
      </c>
      <c r="N75" s="561">
        <f t="shared" ref="N75" si="54">M75/G75</f>
        <v>1.0000000001253375</v>
      </c>
      <c r="O75" s="561">
        <f>N75*2668</f>
        <v>2668.0000003344003</v>
      </c>
      <c r="P75" s="561"/>
      <c r="Q75" s="561" t="s">
        <v>25</v>
      </c>
      <c r="R75" s="561"/>
      <c r="X75" s="460"/>
      <c r="Y75" s="460"/>
      <c r="Z75" s="460"/>
      <c r="AA75" s="460"/>
      <c r="AB75" s="460"/>
      <c r="AE75" s="357"/>
      <c r="AF75" s="357"/>
      <c r="AG75" s="357"/>
      <c r="AH75" s="357"/>
      <c r="AI75" s="357"/>
    </row>
    <row r="76" spans="1:35" ht="18.75">
      <c r="A76" s="230"/>
      <c r="B76" s="225"/>
      <c r="C76" s="224"/>
      <c r="D76" s="303"/>
      <c r="E76" s="442"/>
      <c r="F76" s="443"/>
      <c r="G76" s="506"/>
      <c r="H76" s="444"/>
      <c r="I76" s="505"/>
      <c r="J76" s="444"/>
      <c r="K76" s="445"/>
      <c r="L76" s="547"/>
      <c r="M76" s="561"/>
      <c r="N76" s="561"/>
      <c r="O76" s="561"/>
      <c r="P76" s="561"/>
      <c r="Q76" s="561"/>
      <c r="R76" s="561"/>
      <c r="X76" s="460"/>
      <c r="Y76" s="460"/>
      <c r="Z76" s="460"/>
      <c r="AA76" s="460"/>
      <c r="AB76" s="460"/>
      <c r="AE76" s="357"/>
      <c r="AF76" s="357"/>
      <c r="AG76" s="357"/>
      <c r="AH76" s="357"/>
      <c r="AI76" s="357"/>
    </row>
    <row r="77" spans="1:35" ht="18.75">
      <c r="A77" s="476" t="s">
        <v>6960</v>
      </c>
      <c r="B77" s="373" t="s">
        <v>5140</v>
      </c>
      <c r="C77" s="226">
        <v>861</v>
      </c>
      <c r="D77" s="376">
        <v>99796</v>
      </c>
      <c r="E77" s="336" t="s">
        <v>5595</v>
      </c>
      <c r="F77" s="351">
        <v>142.4</v>
      </c>
      <c r="G77" s="339">
        <f t="shared" ref="G77:G78" si="55">C77*D77*0.9912/(F77*1.003631981)</f>
        <v>595927.04857432679</v>
      </c>
      <c r="H77" s="501">
        <f t="shared" ref="H77:H78" si="56">C77/F77</f>
        <v>6.0463483146067416</v>
      </c>
      <c r="I77" s="533">
        <f>$O$55/$O$52</f>
        <v>6.5099337748344368</v>
      </c>
      <c r="J77" s="501">
        <f>I77/H77</f>
        <v>1.0766719739098998</v>
      </c>
      <c r="K77" s="445">
        <f t="shared" ref="K77" si="57">(1/J77-1.0256)*100</f>
        <v>-9.6812008641283818</v>
      </c>
      <c r="L77" s="442"/>
      <c r="M77" s="503" t="s">
        <v>25</v>
      </c>
      <c r="X77" s="460"/>
      <c r="Y77" s="460"/>
      <c r="Z77" s="460"/>
      <c r="AA77" s="460"/>
      <c r="AB77" s="460"/>
      <c r="AE77" s="357"/>
      <c r="AF77" s="357"/>
      <c r="AG77" s="357"/>
      <c r="AH77" s="357"/>
      <c r="AI77" s="357"/>
    </row>
    <row r="78" spans="1:35" ht="18.75">
      <c r="A78" s="476" t="s">
        <v>6988</v>
      </c>
      <c r="B78" s="373" t="s">
        <v>5140</v>
      </c>
      <c r="C78" s="226">
        <v>784.59500000000003</v>
      </c>
      <c r="D78" s="376">
        <v>460985</v>
      </c>
      <c r="E78" s="336" t="s">
        <v>5595</v>
      </c>
      <c r="F78" s="351">
        <v>146.57</v>
      </c>
      <c r="G78" s="339">
        <f t="shared" si="55"/>
        <v>2437103.8963305904</v>
      </c>
      <c r="H78" s="501">
        <f t="shared" si="56"/>
        <v>5.3530395033089997</v>
      </c>
      <c r="I78" s="533">
        <f>$O$55/$O$52</f>
        <v>6.5099337748344368</v>
      </c>
      <c r="J78" s="501">
        <f>I78/H78</f>
        <v>1.2161191358312038</v>
      </c>
      <c r="K78" s="445">
        <f t="shared" ref="K78" si="58">(1/J78-1.0256)*100</f>
        <v>-20.331214140421274</v>
      </c>
      <c r="L78" s="442"/>
      <c r="M78" s="508"/>
      <c r="N78" t="s">
        <v>25</v>
      </c>
      <c r="X78" s="460"/>
      <c r="Y78" s="460"/>
      <c r="Z78" s="460"/>
      <c r="AA78" s="460"/>
      <c r="AB78" s="460"/>
      <c r="AE78" s="357"/>
      <c r="AF78" s="357"/>
      <c r="AG78" s="357"/>
      <c r="AH78" s="357"/>
      <c r="AI78" s="357"/>
    </row>
    <row r="79" spans="1:35" ht="18.75">
      <c r="A79" s="476" t="s">
        <v>6960</v>
      </c>
      <c r="B79" s="373" t="s">
        <v>5140</v>
      </c>
      <c r="C79" s="226">
        <v>861</v>
      </c>
      <c r="D79" s="376">
        <v>24895</v>
      </c>
      <c r="E79" s="336" t="s">
        <v>5595</v>
      </c>
      <c r="F79" s="351">
        <v>143.15</v>
      </c>
      <c r="G79" s="339">
        <f t="shared" ref="G79" si="59">C79*D79*0.9912/(F79*1.003631981)</f>
        <v>147880.43905020799</v>
      </c>
      <c r="H79" s="501">
        <f t="shared" ref="H79" si="60">C79/F79</f>
        <v>6.0146699266503667</v>
      </c>
      <c r="I79" s="533">
        <f>$O$55/$O$52</f>
        <v>6.5099337748344368</v>
      </c>
      <c r="J79" s="501">
        <f>I79/H79</f>
        <v>1.0823426479297906</v>
      </c>
      <c r="K79" s="445">
        <f t="shared" ref="K79" si="61">(1/J79-1.0256)*100</f>
        <v>-10.167816996520319</v>
      </c>
      <c r="L79" s="547" t="s">
        <v>6856</v>
      </c>
      <c r="M79" s="546"/>
      <c r="X79" s="460"/>
      <c r="Y79" s="460"/>
      <c r="Z79" s="460"/>
      <c r="AA79" s="460"/>
      <c r="AB79" s="460"/>
      <c r="AE79" s="357"/>
      <c r="AF79" s="357"/>
      <c r="AG79" s="357"/>
      <c r="AH79" s="357"/>
      <c r="AI79" s="357"/>
    </row>
    <row r="80" spans="1:35" ht="18.75">
      <c r="A80" s="476" t="s">
        <v>6960</v>
      </c>
      <c r="B80" s="373" t="s">
        <v>5140</v>
      </c>
      <c r="C80" s="226">
        <v>861</v>
      </c>
      <c r="D80" s="376">
        <v>63786.3</v>
      </c>
      <c r="E80" s="336" t="s">
        <v>5595</v>
      </c>
      <c r="F80" s="351">
        <v>142.4</v>
      </c>
      <c r="G80" s="339">
        <f t="shared" ref="G80" si="62">C80*D80*0.9912/(F80*1.003631981)</f>
        <v>380896.84454764304</v>
      </c>
      <c r="H80" s="501">
        <f t="shared" ref="H80" si="63">C80/F80</f>
        <v>6.0463483146067416</v>
      </c>
      <c r="I80" s="533">
        <f>$O$55/$O$52</f>
        <v>6.5099337748344368</v>
      </c>
      <c r="J80" s="501">
        <f>I80/H80</f>
        <v>1.0766719739098998</v>
      </c>
      <c r="K80" s="445">
        <f t="shared" ref="K80" si="64">(1/J80-1.0256)*100</f>
        <v>-9.6812008641283818</v>
      </c>
      <c r="L80" s="547" t="s">
        <v>1005</v>
      </c>
      <c r="M80" s="546"/>
      <c r="O80" t="s">
        <v>25</v>
      </c>
      <c r="W80" s="460"/>
      <c r="X80" s="460"/>
      <c r="Y80" s="460"/>
      <c r="Z80" s="460"/>
      <c r="AC80" s="357"/>
      <c r="AD80" s="357"/>
      <c r="AE80" s="357"/>
      <c r="AF80" s="357"/>
      <c r="AG80" s="357"/>
    </row>
    <row r="81" spans="1:37" ht="18.75">
      <c r="A81" s="476" t="s">
        <v>6959</v>
      </c>
      <c r="B81" s="373" t="s">
        <v>5140</v>
      </c>
      <c r="C81" s="226">
        <v>820</v>
      </c>
      <c r="D81" s="376">
        <v>2100754</v>
      </c>
      <c r="E81" s="336" t="s">
        <v>5595</v>
      </c>
      <c r="F81" s="351">
        <v>140.5</v>
      </c>
      <c r="G81" s="339">
        <f t="shared" ref="G81:G87" si="65">C81*D81*0.9912/(F81*1.003631981)</f>
        <v>12108756.026299838</v>
      </c>
      <c r="H81" s="501">
        <f t="shared" ref="H81:H87" si="66">C81/F81</f>
        <v>5.8362989323843415</v>
      </c>
      <c r="I81" s="533">
        <f>$O$55/$O$52</f>
        <v>6.5099337748344368</v>
      </c>
      <c r="J81" s="501">
        <f t="shared" ref="J81:J87" si="67">I81/H81</f>
        <v>1.1154215797124858</v>
      </c>
      <c r="K81" s="445">
        <f t="shared" ref="K81:K87" si="68">(1/J81-1.0256)*100</f>
        <v>-12.907798698877359</v>
      </c>
      <c r="L81" s="547" t="s">
        <v>690</v>
      </c>
      <c r="M81" s="546"/>
      <c r="P81" t="s">
        <v>25</v>
      </c>
      <c r="W81" s="460"/>
      <c r="X81" s="460"/>
      <c r="Y81" s="460"/>
      <c r="Z81" s="460"/>
      <c r="AC81" s="357"/>
      <c r="AD81" s="357"/>
      <c r="AE81" s="357"/>
      <c r="AF81" s="357"/>
      <c r="AG81" s="357"/>
    </row>
    <row r="82" spans="1:37" ht="18.75">
      <c r="A82" s="476" t="s">
        <v>6960</v>
      </c>
      <c r="B82" s="373" t="s">
        <v>5140</v>
      </c>
      <c r="C82" s="226">
        <v>853.8</v>
      </c>
      <c r="D82" s="376">
        <v>677246</v>
      </c>
      <c r="E82" s="336" t="s">
        <v>5595</v>
      </c>
      <c r="F82" s="351">
        <v>140.5</v>
      </c>
      <c r="G82" s="339">
        <f t="shared" si="65"/>
        <v>4064555.6723325457</v>
      </c>
      <c r="H82" s="501">
        <f t="shared" si="66"/>
        <v>6.0768683274021349</v>
      </c>
      <c r="I82" s="533">
        <f>$O$55/$O$52</f>
        <v>6.5099337748344368</v>
      </c>
      <c r="J82" s="501">
        <f t="shared" si="67"/>
        <v>1.0712645764397264</v>
      </c>
      <c r="K82" s="445">
        <f t="shared" si="68"/>
        <v>-9.2123786940262136</v>
      </c>
      <c r="L82" s="547" t="s">
        <v>690</v>
      </c>
      <c r="M82" s="546"/>
      <c r="O82" t="s">
        <v>25</v>
      </c>
      <c r="P82" t="s">
        <v>25</v>
      </c>
      <c r="W82" s="460"/>
      <c r="X82" s="460"/>
      <c r="Y82" s="460"/>
      <c r="Z82" s="460"/>
      <c r="AC82" s="357"/>
      <c r="AD82" s="357"/>
      <c r="AE82" s="357"/>
      <c r="AF82" s="357"/>
      <c r="AG82" s="357"/>
    </row>
    <row r="83" spans="1:37" ht="18.75">
      <c r="A83" s="476" t="s">
        <v>6960</v>
      </c>
      <c r="B83" s="373" t="s">
        <v>5140</v>
      </c>
      <c r="C83" s="226">
        <v>861</v>
      </c>
      <c r="D83" s="376">
        <v>103647</v>
      </c>
      <c r="E83" s="336" t="s">
        <v>5595</v>
      </c>
      <c r="F83" s="351">
        <v>142.4</v>
      </c>
      <c r="G83" s="339">
        <f>C83*D83*0.9912/(F83*1.003631981)</f>
        <v>618923.11118264508</v>
      </c>
      <c r="H83" s="501">
        <f t="shared" si="66"/>
        <v>6.0463483146067416</v>
      </c>
      <c r="I83" s="533">
        <f>$O$55/$O$52</f>
        <v>6.5099337748344368</v>
      </c>
      <c r="J83" s="501">
        <f t="shared" ref="J83" si="69">I83/H83</f>
        <v>1.0766719739098998</v>
      </c>
      <c r="K83" s="445">
        <f t="shared" ref="K83" si="70">(1/J83-1.0256)*100</f>
        <v>-9.6812008641283818</v>
      </c>
      <c r="L83" s="547" t="s">
        <v>5282</v>
      </c>
      <c r="M83" s="546"/>
      <c r="O83" t="s">
        <v>25</v>
      </c>
      <c r="S83" s="561"/>
      <c r="W83" s="460"/>
      <c r="X83" s="460"/>
      <c r="Y83" s="460"/>
      <c r="Z83" s="460"/>
      <c r="AC83" s="357"/>
      <c r="AD83" s="357"/>
      <c r="AE83" s="357"/>
      <c r="AF83" s="357"/>
      <c r="AG83" s="357"/>
    </row>
    <row r="84" spans="1:37" ht="18.75">
      <c r="A84" s="476" t="s">
        <v>6967</v>
      </c>
      <c r="B84" s="373" t="s">
        <v>5140</v>
      </c>
      <c r="C84" s="226">
        <v>891</v>
      </c>
      <c r="D84" s="376">
        <v>350000</v>
      </c>
      <c r="E84" s="336" t="s">
        <v>5595</v>
      </c>
      <c r="F84" s="351">
        <v>144.30000000000001</v>
      </c>
      <c r="G84" s="339">
        <f t="shared" si="65"/>
        <v>2134352.8526964919</v>
      </c>
      <c r="H84" s="501">
        <f t="shared" si="66"/>
        <v>6.1746361746361744</v>
      </c>
      <c r="I84" s="533">
        <f>$O$55/$O$52</f>
        <v>6.5099337748344368</v>
      </c>
      <c r="J84" s="501">
        <f t="shared" si="67"/>
        <v>1.054302405958035</v>
      </c>
      <c r="K84" s="445">
        <f t="shared" si="68"/>
        <v>-7.7105531668298699</v>
      </c>
      <c r="L84" s="547" t="s">
        <v>690</v>
      </c>
      <c r="M84" s="546" t="s">
        <v>25</v>
      </c>
      <c r="V84" s="460"/>
      <c r="W84" s="460"/>
      <c r="X84" s="460"/>
      <c r="Y84" s="460"/>
      <c r="Z84" s="460"/>
      <c r="AC84" s="357"/>
      <c r="AD84" s="357"/>
      <c r="AE84" s="357"/>
      <c r="AF84" s="357"/>
      <c r="AG84" s="357"/>
    </row>
    <row r="85" spans="1:37" ht="18.75">
      <c r="A85" s="476" t="s">
        <v>6987</v>
      </c>
      <c r="B85" s="373" t="s">
        <v>5140</v>
      </c>
      <c r="C85" s="226">
        <v>937</v>
      </c>
      <c r="D85" s="376">
        <v>200000</v>
      </c>
      <c r="E85" s="336" t="s">
        <v>5595</v>
      </c>
      <c r="F85" s="351">
        <v>146.69999999999999</v>
      </c>
      <c r="G85" s="339">
        <f t="shared" si="65"/>
        <v>1261613.3453229356</v>
      </c>
      <c r="H85" s="501">
        <f t="shared" si="66"/>
        <v>6.3871847307430132</v>
      </c>
      <c r="I85" s="533">
        <f>$O$55/$O$52</f>
        <v>6.5099337748344368</v>
      </c>
      <c r="J85" s="501">
        <f t="shared" si="67"/>
        <v>1.0192180200301086</v>
      </c>
      <c r="K85" s="445">
        <f t="shared" si="68"/>
        <v>-4.4455651737339785</v>
      </c>
      <c r="L85" s="547" t="s">
        <v>690</v>
      </c>
      <c r="M85" s="546"/>
      <c r="S85" t="s">
        <v>25</v>
      </c>
      <c r="T85" t="s">
        <v>25</v>
      </c>
      <c r="AG85" s="357"/>
      <c r="AH85" s="357"/>
      <c r="AI85" s="357"/>
      <c r="AJ85" s="357"/>
      <c r="AK85" s="357"/>
    </row>
    <row r="86" spans="1:37" ht="18.75">
      <c r="A86" s="476" t="s">
        <v>6684</v>
      </c>
      <c r="B86" s="373" t="s">
        <v>5140</v>
      </c>
      <c r="C86" s="226">
        <v>973</v>
      </c>
      <c r="D86" s="376">
        <v>140000</v>
      </c>
      <c r="E86" s="336" t="s">
        <v>5595</v>
      </c>
      <c r="F86" s="351">
        <v>144.1</v>
      </c>
      <c r="G86" s="339">
        <f t="shared" si="65"/>
        <v>933606.13458110462</v>
      </c>
      <c r="H86" s="501">
        <f t="shared" si="66"/>
        <v>6.7522553782095773</v>
      </c>
      <c r="I86" s="533">
        <f>$O$55/$O$52</f>
        <v>6.5099337748344368</v>
      </c>
      <c r="J86" s="501">
        <f t="shared" si="67"/>
        <v>0.96411249429973511</v>
      </c>
      <c r="K86" s="445">
        <f t="shared" si="68"/>
        <v>1.1623359216323736</v>
      </c>
      <c r="L86" s="547" t="s">
        <v>690</v>
      </c>
      <c r="M86" s="546"/>
      <c r="N86" t="s">
        <v>25</v>
      </c>
      <c r="S86" s="386" t="s">
        <v>25</v>
      </c>
      <c r="U86" s="372"/>
      <c r="Y86" s="386"/>
      <c r="AD86" s="357"/>
      <c r="AE86" s="357"/>
      <c r="AF86" s="357"/>
      <c r="AG86" s="357"/>
    </row>
    <row r="87" spans="1:37" ht="18.75">
      <c r="A87" s="476" t="s">
        <v>6967</v>
      </c>
      <c r="B87" s="373" t="s">
        <v>5140</v>
      </c>
      <c r="C87" s="226">
        <v>843.67331379999996</v>
      </c>
      <c r="D87" s="376">
        <v>119195</v>
      </c>
      <c r="E87" s="336" t="s">
        <v>5595</v>
      </c>
      <c r="F87" s="351">
        <v>140.1</v>
      </c>
      <c r="G87" s="339">
        <f t="shared" si="65"/>
        <v>708893.53627636458</v>
      </c>
      <c r="H87" s="501">
        <f t="shared" si="66"/>
        <v>6.0219365724482516</v>
      </c>
      <c r="I87" s="533">
        <f>$O$55/$O$52</f>
        <v>6.5099337748344368</v>
      </c>
      <c r="J87" s="501">
        <f t="shared" si="67"/>
        <v>1.0810365895613854</v>
      </c>
      <c r="K87" s="445">
        <f t="shared" si="68"/>
        <v>-10.056193037671823</v>
      </c>
      <c r="L87" s="547" t="s">
        <v>422</v>
      </c>
      <c r="M87" s="546">
        <v>708893.53626633959</v>
      </c>
      <c r="N87">
        <f>M87/G87</f>
        <v>0.99999999998585831</v>
      </c>
      <c r="O87">
        <f>N87*C87</f>
        <v>843.67331378806898</v>
      </c>
      <c r="P87" t="s">
        <v>25</v>
      </c>
      <c r="Q87" t="s">
        <v>25</v>
      </c>
      <c r="T87" t="s">
        <v>25</v>
      </c>
      <c r="U87" s="549"/>
      <c r="Y87" s="386"/>
      <c r="Z87" s="386"/>
      <c r="AA87" s="386"/>
      <c r="AB87" s="386"/>
      <c r="AC87" s="386"/>
      <c r="AD87" s="357"/>
      <c r="AE87" s="357"/>
      <c r="AF87" s="357"/>
      <c r="AG87" s="357"/>
      <c r="AK87" s="357"/>
    </row>
    <row r="88" spans="1:37" ht="18.75">
      <c r="A88" s="476" t="s">
        <v>6959</v>
      </c>
      <c r="B88" s="373" t="s">
        <v>5140</v>
      </c>
      <c r="C88" s="226">
        <v>851.73696940000002</v>
      </c>
      <c r="D88" s="376">
        <v>1003536</v>
      </c>
      <c r="E88" s="336" t="s">
        <v>5595</v>
      </c>
      <c r="F88" s="351">
        <v>142.4</v>
      </c>
      <c r="G88" s="339">
        <f t="shared" ref="G88:G90" si="71">C88*D88*0.9912/(F88*1.003631981)</f>
        <v>5928096.5319297872</v>
      </c>
      <c r="H88" s="501">
        <f t="shared" ref="H88:H90" si="72">C88/F88</f>
        <v>5.9812989424157301</v>
      </c>
      <c r="I88" s="533">
        <f t="shared" ref="I88:I93" si="73">$O$55/$O$52</f>
        <v>6.5099337748344368</v>
      </c>
      <c r="J88" s="501">
        <f t="shared" ref="J88:J90" si="74">I88/H88</f>
        <v>1.0883812759582956</v>
      </c>
      <c r="K88" s="445">
        <f t="shared" ref="K88:K90" si="75">(1/J88-1.0256)*100</f>
        <v>-10.680433336238526</v>
      </c>
      <c r="L88" s="547" t="s">
        <v>422</v>
      </c>
      <c r="M88" s="561">
        <v>5928096.5318912994</v>
      </c>
      <c r="N88" s="561">
        <f>M88/G88</f>
        <v>0.99999999999350753</v>
      </c>
      <c r="O88" s="561">
        <f t="shared" ref="O88:O90" si="76">N88*C88</f>
        <v>851.73696939447018</v>
      </c>
      <c r="P88" s="561"/>
      <c r="Q88" s="561"/>
      <c r="R88" s="561"/>
      <c r="U88" s="549"/>
      <c r="Y88" s="386"/>
      <c r="Z88" s="386"/>
      <c r="AA88" s="386"/>
      <c r="AB88" s="386"/>
      <c r="AC88" s="386"/>
      <c r="AD88" s="357"/>
      <c r="AE88" s="357"/>
      <c r="AF88" s="357"/>
      <c r="AG88" s="357"/>
      <c r="AK88" s="372"/>
    </row>
    <row r="89" spans="1:37" ht="18.75">
      <c r="A89" s="476" t="s">
        <v>6960</v>
      </c>
      <c r="B89" s="373" t="s">
        <v>5140</v>
      </c>
      <c r="C89" s="226">
        <v>849.80090570000004</v>
      </c>
      <c r="D89" s="376">
        <v>329138</v>
      </c>
      <c r="E89" s="336" t="s">
        <v>5595</v>
      </c>
      <c r="F89" s="351">
        <v>140.1</v>
      </c>
      <c r="G89" s="339">
        <f t="shared" si="71"/>
        <v>1971713.8258085686</v>
      </c>
      <c r="H89" s="501">
        <f t="shared" si="72"/>
        <v>6.065673845110636</v>
      </c>
      <c r="I89" s="533">
        <f t="shared" si="73"/>
        <v>6.5099337748344368</v>
      </c>
      <c r="J89" s="501">
        <f t="shared" si="74"/>
        <v>1.0732416448803797</v>
      </c>
      <c r="K89" s="445">
        <f t="shared" si="75"/>
        <v>-9.3843386966728346</v>
      </c>
      <c r="L89" s="547" t="s">
        <v>422</v>
      </c>
      <c r="M89" s="561">
        <v>1971713.8257630279</v>
      </c>
      <c r="N89" s="561">
        <f t="shared" ref="N89:N90" si="77">M89/G89</f>
        <v>0.99999999997690292</v>
      </c>
      <c r="O89" s="561">
        <f t="shared" si="76"/>
        <v>849.80090568037213</v>
      </c>
      <c r="P89" s="561"/>
      <c r="Q89" s="561" t="s">
        <v>25</v>
      </c>
      <c r="R89" s="561"/>
      <c r="T89" s="11"/>
      <c r="U89" s="519" t="s">
        <v>857</v>
      </c>
      <c r="V89" s="519" t="s">
        <v>870</v>
      </c>
      <c r="W89" s="519" t="s">
        <v>6909</v>
      </c>
      <c r="X89" s="11"/>
      <c r="Y89" s="386"/>
      <c r="Z89" s="386"/>
      <c r="AA89" s="386"/>
      <c r="AB89" s="386"/>
      <c r="AC89" s="386"/>
      <c r="AD89" s="357"/>
      <c r="AE89" s="357"/>
      <c r="AF89" s="357"/>
      <c r="AG89" s="357"/>
      <c r="AK89" s="357"/>
    </row>
    <row r="90" spans="1:37" ht="18.75">
      <c r="A90" s="476" t="s">
        <v>6967</v>
      </c>
      <c r="B90" s="373" t="s">
        <v>5140</v>
      </c>
      <c r="C90" s="226">
        <v>855.85873560000005</v>
      </c>
      <c r="D90" s="376">
        <v>64200</v>
      </c>
      <c r="E90" s="336" t="s">
        <v>5595</v>
      </c>
      <c r="F90" s="351">
        <v>146.16900000000001</v>
      </c>
      <c r="G90" s="339">
        <f t="shared" si="71"/>
        <v>371251.86298086517</v>
      </c>
      <c r="H90" s="501">
        <f t="shared" si="72"/>
        <v>5.8552684604806764</v>
      </c>
      <c r="I90" s="533">
        <f t="shared" si="73"/>
        <v>6.5099337748344368</v>
      </c>
      <c r="J90" s="501">
        <f t="shared" si="74"/>
        <v>1.111807907489184</v>
      </c>
      <c r="K90" s="445">
        <f t="shared" si="75"/>
        <v>-12.616405134020125</v>
      </c>
      <c r="L90" s="547" t="s">
        <v>422</v>
      </c>
      <c r="M90" s="561">
        <v>371251.86296701466</v>
      </c>
      <c r="N90" s="561">
        <f t="shared" si="77"/>
        <v>0.9999999999626924</v>
      </c>
      <c r="O90" s="561">
        <f t="shared" si="76"/>
        <v>855.85873556806996</v>
      </c>
      <c r="P90" s="561" t="s">
        <v>25</v>
      </c>
      <c r="Q90" s="561"/>
      <c r="R90" s="561"/>
      <c r="S90" s="362"/>
      <c r="T90" s="559" t="s">
        <v>7020</v>
      </c>
      <c r="U90" s="560">
        <v>90269</v>
      </c>
      <c r="V90" s="580">
        <v>2424.4</v>
      </c>
      <c r="W90" s="580">
        <f>V90/1.0127</f>
        <v>2393.9962476547844</v>
      </c>
      <c r="X90" s="580">
        <f>U90*V90*0.9912</f>
        <v>216922299.76031998</v>
      </c>
      <c r="Y90" s="386"/>
      <c r="Z90" s="386"/>
      <c r="AA90" s="386"/>
      <c r="AB90" s="386"/>
      <c r="AC90" s="386"/>
      <c r="AD90" s="357"/>
      <c r="AE90" s="357"/>
      <c r="AF90" s="357"/>
      <c r="AG90" s="357"/>
      <c r="AK90" s="357"/>
    </row>
    <row r="91" spans="1:37" ht="18.75">
      <c r="A91" s="476" t="s">
        <v>6959</v>
      </c>
      <c r="B91" s="373" t="s">
        <v>5140</v>
      </c>
      <c r="C91" s="226">
        <v>804.78008629999999</v>
      </c>
      <c r="D91" s="376">
        <v>116795.81797745626</v>
      </c>
      <c r="E91" s="336" t="s">
        <v>5595</v>
      </c>
      <c r="F91" s="351">
        <v>142.4</v>
      </c>
      <c r="G91" s="339">
        <f t="shared" ref="G91" si="78">C91*D91*0.9912/(F91*1.003631981)</f>
        <v>651900.51844488934</v>
      </c>
      <c r="H91" s="501">
        <f t="shared" ref="H91" si="79">C91/F91</f>
        <v>5.6515455498595504</v>
      </c>
      <c r="I91" s="533">
        <f t="shared" si="73"/>
        <v>6.5099337748344368</v>
      </c>
      <c r="J91" s="501">
        <f t="shared" ref="J91" si="80">I91/H91</f>
        <v>1.1518855713719265</v>
      </c>
      <c r="K91" s="445">
        <f t="shared" ref="K91" si="81">(1/J91-1.0256)*100</f>
        <v>-15.745821156786155</v>
      </c>
      <c r="L91" s="547" t="s">
        <v>422</v>
      </c>
      <c r="M91" s="561">
        <v>651900.51846981922</v>
      </c>
      <c r="N91" s="561">
        <f t="shared" ref="N91" si="82">M91/G91</f>
        <v>1.0000000000382419</v>
      </c>
      <c r="O91" s="561">
        <f t="shared" ref="O91" si="83">N91*C91</f>
        <v>804.78008633077627</v>
      </c>
      <c r="P91" s="561" t="s">
        <v>25</v>
      </c>
      <c r="Q91" s="561"/>
      <c r="R91" s="561"/>
      <c r="S91" s="372"/>
      <c r="T91" s="11" t="s">
        <v>7021</v>
      </c>
      <c r="U91" s="560">
        <v>340834</v>
      </c>
      <c r="V91" s="580">
        <v>870.17179999999996</v>
      </c>
      <c r="W91" s="580">
        <f>V91/1.0127</f>
        <v>859.25920805766759</v>
      </c>
      <c r="X91" s="580">
        <f>U91*V91*0.9912</f>
        <v>293974194.89072543</v>
      </c>
      <c r="Y91" s="386"/>
      <c r="Z91" s="386"/>
      <c r="AA91" s="386"/>
      <c r="AB91" s="386"/>
      <c r="AC91" s="386"/>
      <c r="AD91" s="357"/>
      <c r="AE91" s="357"/>
      <c r="AF91" s="357"/>
      <c r="AG91" s="357"/>
      <c r="AK91" t="s">
        <v>25</v>
      </c>
    </row>
    <row r="92" spans="1:37" ht="18.75">
      <c r="A92" s="476" t="s">
        <v>6959</v>
      </c>
      <c r="B92" s="373" t="s">
        <v>5140</v>
      </c>
      <c r="C92" s="226">
        <v>823.11953089999997</v>
      </c>
      <c r="D92" s="376">
        <v>427060.55</v>
      </c>
      <c r="E92" s="336" t="s">
        <v>5595</v>
      </c>
      <c r="F92" s="351">
        <v>142.4</v>
      </c>
      <c r="G92" s="339">
        <f t="shared" ref="G92" si="84">C92*D92*0.9912/(F92*1.003631981)</f>
        <v>2437974.5855591767</v>
      </c>
      <c r="H92" s="501">
        <f t="shared" ref="H92" si="85">C92/F92</f>
        <v>5.7803337844101117</v>
      </c>
      <c r="I92" s="533">
        <f t="shared" si="73"/>
        <v>6.5099337748344368</v>
      </c>
      <c r="J92" s="501">
        <f t="shared" ref="J92" si="86">I92/H92</f>
        <v>1.1262210830094446</v>
      </c>
      <c r="K92" s="445">
        <f t="shared" ref="K92" si="87">(1/J92-1.0256)*100</f>
        <v>-13.767487136731759</v>
      </c>
      <c r="L92" s="547" t="s">
        <v>422</v>
      </c>
      <c r="M92" s="561">
        <v>2437974.5856142933</v>
      </c>
      <c r="N92" s="561">
        <f t="shared" ref="N92" si="88">M92/G92</f>
        <v>1.0000000000226075</v>
      </c>
      <c r="O92" s="561">
        <f t="shared" ref="O92" si="89">N92*C92</f>
        <v>823.11953091860858</v>
      </c>
      <c r="P92" s="561"/>
      <c r="Q92" s="561"/>
      <c r="R92" s="561"/>
      <c r="S92" s="372"/>
      <c r="T92" s="404" t="s">
        <v>7022</v>
      </c>
      <c r="U92" s="560">
        <v>390181</v>
      </c>
      <c r="V92" s="580">
        <v>798.84500000000003</v>
      </c>
      <c r="W92" s="580">
        <f>V92/1.0127</f>
        <v>788.82689839044144</v>
      </c>
      <c r="X92" s="580">
        <f>U92*V92*0.9912</f>
        <v>308951232.50468397</v>
      </c>
      <c r="Y92" s="386"/>
      <c r="Z92" s="386"/>
      <c r="AA92" s="386"/>
      <c r="AB92" s="386"/>
      <c r="AC92" s="386"/>
      <c r="AD92" s="357"/>
      <c r="AE92" s="357"/>
      <c r="AF92" s="357"/>
      <c r="AG92" s="357"/>
    </row>
    <row r="93" spans="1:37" ht="18.75">
      <c r="A93" s="476" t="s">
        <v>6960</v>
      </c>
      <c r="B93" s="373" t="s">
        <v>5140</v>
      </c>
      <c r="C93" s="226">
        <v>821.58713809999995</v>
      </c>
      <c r="D93" s="376">
        <v>124502</v>
      </c>
      <c r="E93" s="336" t="s">
        <v>5595</v>
      </c>
      <c r="F93" s="351">
        <v>140.1</v>
      </c>
      <c r="G93" s="339">
        <f t="shared" ref="G93" si="90">C93*D93*0.9912/(F93*1.003631981)</f>
        <v>721071.99057528225</v>
      </c>
      <c r="H93" s="501">
        <f t="shared" ref="H93" si="91">C93/F93</f>
        <v>5.8642907787294787</v>
      </c>
      <c r="I93" s="533">
        <f t="shared" si="73"/>
        <v>6.5099337748344368</v>
      </c>
      <c r="J93" s="501">
        <f t="shared" ref="J93" si="92">I93/H93</f>
        <v>1.1100973707591013</v>
      </c>
      <c r="K93" s="445">
        <f t="shared" ref="K93" si="93">(1/J93-1.0256)*100</f>
        <v>-12.477812045966308</v>
      </c>
      <c r="L93" s="547" t="s">
        <v>422</v>
      </c>
      <c r="M93" s="561">
        <v>721071.9905392346</v>
      </c>
      <c r="N93" s="561">
        <f t="shared" ref="N93" si="94">M93/G93</f>
        <v>0.99999999995000821</v>
      </c>
      <c r="O93" s="561">
        <f t="shared" ref="O93" si="95">N93*C93</f>
        <v>821.58713805892728</v>
      </c>
      <c r="P93" s="561"/>
      <c r="Q93" s="561"/>
      <c r="R93" s="561"/>
      <c r="S93" s="372" t="s">
        <v>25</v>
      </c>
      <c r="Y93" s="386"/>
      <c r="Z93" s="386"/>
      <c r="AA93" s="386"/>
      <c r="AB93" s="386"/>
      <c r="AC93" s="386"/>
      <c r="AD93" s="357"/>
      <c r="AE93" s="357"/>
      <c r="AF93" s="357"/>
      <c r="AG93" s="357"/>
    </row>
    <row r="94" spans="1:37" ht="18.75">
      <c r="A94" s="476"/>
      <c r="B94" s="373"/>
      <c r="C94" s="226"/>
      <c r="D94" s="376"/>
      <c r="E94" s="336"/>
      <c r="F94" s="351"/>
      <c r="G94" s="339"/>
      <c r="H94" s="501"/>
      <c r="I94" s="533"/>
      <c r="J94" s="501"/>
      <c r="K94" s="445"/>
      <c r="L94" s="547"/>
      <c r="M94" s="561"/>
      <c r="N94" s="561" t="s">
        <v>25</v>
      </c>
      <c r="O94" s="561"/>
      <c r="P94" s="561"/>
      <c r="Q94" s="561"/>
      <c r="R94" s="561"/>
      <c r="S94" s="372" t="s">
        <v>25</v>
      </c>
      <c r="W94" t="s">
        <v>25</v>
      </c>
      <c r="Y94" s="386"/>
      <c r="Z94" s="386"/>
      <c r="AA94" s="386"/>
      <c r="AB94" s="386"/>
      <c r="AC94" s="386"/>
    </row>
    <row r="95" spans="1:37" ht="18.75">
      <c r="A95" s="476"/>
      <c r="B95" s="373"/>
      <c r="C95" s="226"/>
      <c r="D95" s="376"/>
      <c r="E95" s="336"/>
      <c r="F95" s="351"/>
      <c r="G95" s="339"/>
      <c r="H95" s="501"/>
      <c r="I95" s="533"/>
      <c r="J95" s="501"/>
      <c r="K95" s="445"/>
      <c r="L95" s="547"/>
      <c r="M95" s="561"/>
      <c r="N95" s="561"/>
      <c r="O95" s="561"/>
      <c r="P95" s="561"/>
      <c r="Q95" s="561"/>
      <c r="R95" s="561"/>
      <c r="S95" s="372" t="s">
        <v>25</v>
      </c>
      <c r="V95" s="386"/>
      <c r="W95" s="384"/>
      <c r="Y95" s="386"/>
      <c r="Z95" s="386"/>
      <c r="AA95" s="386"/>
      <c r="AB95" s="386"/>
      <c r="AC95" s="386"/>
    </row>
    <row r="96" spans="1:37" ht="18.75">
      <c r="A96" s="476" t="s">
        <v>6959</v>
      </c>
      <c r="B96" s="373" t="s">
        <v>5140</v>
      </c>
      <c r="C96" s="226">
        <v>869.4</v>
      </c>
      <c r="D96" s="376">
        <v>11991</v>
      </c>
      <c r="E96" s="545" t="s">
        <v>6945</v>
      </c>
      <c r="F96" s="542">
        <v>396</v>
      </c>
      <c r="G96" s="543">
        <f>C96*D96*0.9912/(F96*1.003631981)</f>
        <v>25999.599283938576</v>
      </c>
      <c r="H96" s="544">
        <f t="shared" ref="H96" si="96">C96/F96</f>
        <v>2.1954545454545453</v>
      </c>
      <c r="I96" s="607">
        <f>$O$55/$O$51</f>
        <v>2.3183962264150941</v>
      </c>
      <c r="J96" s="544">
        <f t="shared" ref="J96" si="97">I96/H96</f>
        <v>1.0559982811828588</v>
      </c>
      <c r="K96" s="445">
        <f t="shared" ref="K96" si="98">(1/J96-1.0256)*100</f>
        <v>-7.8628761675760828</v>
      </c>
      <c r="L96" s="442"/>
      <c r="M96" s="546"/>
      <c r="S96" s="372" t="s">
        <v>25</v>
      </c>
      <c r="V96" s="372"/>
      <c r="W96" s="384"/>
      <c r="Y96" s="386"/>
      <c r="Z96" s="386"/>
      <c r="AA96" s="386"/>
      <c r="AB96" s="386"/>
      <c r="AC96" s="386"/>
      <c r="AE96" t="s">
        <v>25</v>
      </c>
    </row>
    <row r="97" spans="1:29" ht="15.75">
      <c r="A97" s="568"/>
      <c r="B97" s="569"/>
      <c r="C97" s="570"/>
      <c r="D97" s="376"/>
      <c r="E97" s="436"/>
      <c r="F97" s="602" t="s">
        <v>7010</v>
      </c>
      <c r="G97" s="602"/>
      <c r="H97" s="602" t="s">
        <v>7011</v>
      </c>
      <c r="I97" s="477" t="s">
        <v>7012</v>
      </c>
      <c r="J97" s="436" t="s">
        <v>7013</v>
      </c>
      <c r="K97" s="603" t="s">
        <v>7014</v>
      </c>
      <c r="L97" s="436" t="s">
        <v>7015</v>
      </c>
      <c r="M97" s="604" t="s">
        <v>7016</v>
      </c>
      <c r="N97" s="604" t="s">
        <v>7017</v>
      </c>
      <c r="O97" s="604" t="s">
        <v>7018</v>
      </c>
      <c r="P97" s="605" t="s">
        <v>4387</v>
      </c>
      <c r="Q97" s="606" t="s">
        <v>7019</v>
      </c>
      <c r="R97" s="604"/>
      <c r="S97" s="372"/>
      <c r="U97" s="386"/>
      <c r="V97" s="386"/>
      <c r="W97" s="384"/>
      <c r="X97" s="334"/>
      <c r="Y97" s="386"/>
      <c r="Z97" s="386"/>
      <c r="AA97" s="386"/>
      <c r="AB97" s="386"/>
      <c r="AC97" s="386"/>
    </row>
    <row r="98" spans="1:29" ht="18.75">
      <c r="A98" s="571" t="s">
        <v>6922</v>
      </c>
      <c r="B98" s="572" t="s">
        <v>4134</v>
      </c>
      <c r="C98" s="573">
        <f>2466.9/(1+$P$3)</f>
        <v>2269.9837296195651</v>
      </c>
      <c r="D98" s="574">
        <f>826550.5*(1+$P$3)</f>
        <v>898252.00147655967</v>
      </c>
      <c r="E98" s="512" t="s">
        <v>6911</v>
      </c>
      <c r="F98" s="575">
        <v>1091.4000000000001</v>
      </c>
      <c r="G98" s="576" t="s">
        <v>6921</v>
      </c>
      <c r="H98" s="576">
        <v>139.19999999999999</v>
      </c>
      <c r="I98" s="576">
        <v>1091.4000000000001</v>
      </c>
      <c r="J98" s="577">
        <f>C98*D98*0.9912/(F98*1.00115)</f>
        <v>1849690.7730378341</v>
      </c>
      <c r="K98" s="577">
        <f>J98*H98*0.99885/(I98*1.00115-H98*0.99885)</f>
        <v>269690.39483097848</v>
      </c>
      <c r="L98" s="577">
        <f>K98+J98</f>
        <v>2119381.1678688126</v>
      </c>
      <c r="M98" s="577">
        <f>L98*$O$49*1.00115/($O$53*0.99885)</f>
        <v>326809.43950340763</v>
      </c>
      <c r="N98" s="577">
        <f>L98-M98</f>
        <v>1792571.728365405</v>
      </c>
      <c r="O98" s="577">
        <f>N98*$O$53*0.99885/($O$54*1.003631981)</f>
        <v>856124.00030592713</v>
      </c>
      <c r="P98" s="444">
        <f>O98/D98</f>
        <v>0.95310001970339953</v>
      </c>
      <c r="Q98" s="444">
        <f>100*(O98-D98)/D98</f>
        <v>-4.6899980296600425</v>
      </c>
      <c r="R98" s="578" t="s">
        <v>422</v>
      </c>
      <c r="S98" s="372"/>
      <c r="T98" s="386" t="s">
        <v>25</v>
      </c>
      <c r="U98" s="372"/>
      <c r="V98" s="386"/>
      <c r="W98" s="384"/>
      <c r="X98" s="342"/>
      <c r="Y98" s="386"/>
      <c r="Z98" s="386"/>
      <c r="AA98" s="386"/>
      <c r="AB98" s="386"/>
      <c r="AC98" s="386"/>
    </row>
    <row r="99" spans="1:29" ht="18.75">
      <c r="A99" s="571" t="s">
        <v>6943</v>
      </c>
      <c r="B99" s="572" t="s">
        <v>4134</v>
      </c>
      <c r="C99" s="573">
        <f>2570/(1+$P$3)</f>
        <v>2364.853940217391</v>
      </c>
      <c r="D99" s="574">
        <f>12265.4*(1+$P$3)</f>
        <v>13329.397416020673</v>
      </c>
      <c r="E99" s="512" t="s">
        <v>6911</v>
      </c>
      <c r="F99" s="575">
        <v>1174</v>
      </c>
      <c r="G99" s="576" t="s">
        <v>6921</v>
      </c>
      <c r="H99" s="576">
        <v>134</v>
      </c>
      <c r="I99" s="576">
        <v>1174</v>
      </c>
      <c r="J99" s="577">
        <f>C99*D99*0.9912/(F99*1.00115)</f>
        <v>26583.299489743524</v>
      </c>
      <c r="K99" s="577">
        <f t="shared" ref="K99:K101" si="99">J99*H99*0.99885/(I99*1.00115-H99*0.99885)</f>
        <v>3416.275849078922</v>
      </c>
      <c r="L99" s="577">
        <f>K99+J99</f>
        <v>29999.575338822448</v>
      </c>
      <c r="M99" s="577">
        <f>L99*$O$49*1.00115/($O$53*0.99885)</f>
        <v>4625.9467388207349</v>
      </c>
      <c r="N99" s="577">
        <f t="shared" ref="N99:N101" si="100">L99-M99</f>
        <v>25373.628600001713</v>
      </c>
      <c r="O99" s="577">
        <f>N99*$O$53*0.99885/($O$54*1.003631981)</f>
        <v>12118.328140274145</v>
      </c>
      <c r="P99" s="444">
        <f t="shared" ref="P99:P101" si="101">O99/D99</f>
        <v>0.90914298389130954</v>
      </c>
      <c r="Q99" s="444">
        <f>100*(O99-D99)/D99</f>
        <v>-9.0857016108690498</v>
      </c>
      <c r="R99" s="578" t="s">
        <v>422</v>
      </c>
      <c r="S99" s="372" t="s">
        <v>25</v>
      </c>
      <c r="T99" s="460" t="s">
        <v>25</v>
      </c>
      <c r="U99" s="386"/>
      <c r="V99" s="386"/>
      <c r="W99" s="384"/>
      <c r="X99" s="342"/>
      <c r="Y99" s="386"/>
      <c r="Z99" s="386"/>
      <c r="AA99" s="386"/>
      <c r="AB99" s="386"/>
      <c r="AC99" s="386"/>
    </row>
    <row r="100" spans="1:29" ht="18.75">
      <c r="A100" s="571" t="s">
        <v>6960</v>
      </c>
      <c r="B100" s="572" t="s">
        <v>4134</v>
      </c>
      <c r="C100" s="573">
        <f>2668/(1+$P$3)</f>
        <v>2455.03125</v>
      </c>
      <c r="D100" s="574">
        <f>20566*(1+$P$3)</f>
        <v>22350.05684754522</v>
      </c>
      <c r="E100" s="512" t="s">
        <v>6911</v>
      </c>
      <c r="F100" s="575">
        <v>1194</v>
      </c>
      <c r="G100" s="576" t="s">
        <v>6921</v>
      </c>
      <c r="H100" s="576">
        <v>129.1</v>
      </c>
      <c r="I100" s="576">
        <v>1194</v>
      </c>
      <c r="J100" s="577">
        <f t="shared" ref="J100:J101" si="102">C100*D100*0.9912/(F100*1.00115)</f>
        <v>45498.122072179802</v>
      </c>
      <c r="K100" s="577">
        <f t="shared" si="99"/>
        <v>5501.6260673844918</v>
      </c>
      <c r="L100" s="577">
        <f>K100+J100</f>
        <v>50999.748139564297</v>
      </c>
      <c r="M100" s="577">
        <f>L100*$O$49*1.00115/($O$53*0.99885)</f>
        <v>7864.1819399886472</v>
      </c>
      <c r="N100" s="577">
        <f t="shared" si="100"/>
        <v>43135.566199575653</v>
      </c>
      <c r="O100" s="577">
        <f>N100*$O$53*0.99885/($O$54*1.003631981)</f>
        <v>20601.347720638609</v>
      </c>
      <c r="P100" s="444">
        <f t="shared" si="101"/>
        <v>0.92175817990822351</v>
      </c>
      <c r="Q100" s="444">
        <f>100*(O100-D100)/D100</f>
        <v>-7.8241820091776546</v>
      </c>
      <c r="R100" s="578" t="s">
        <v>422</v>
      </c>
      <c r="S100" s="372"/>
      <c r="T100" s="460" t="s">
        <v>25</v>
      </c>
      <c r="U100" s="386" t="s">
        <v>25</v>
      </c>
      <c r="V100" s="386"/>
      <c r="W100" s="384"/>
      <c r="X100" s="342"/>
      <c r="Y100" s="386"/>
      <c r="Z100" s="386"/>
      <c r="AA100" s="386"/>
      <c r="AB100" s="386"/>
      <c r="AC100" s="386"/>
    </row>
    <row r="101" spans="1:29" ht="18.75">
      <c r="A101" s="571" t="s">
        <v>6943</v>
      </c>
      <c r="B101" s="572" t="s">
        <v>4134</v>
      </c>
      <c r="C101" s="573">
        <f>2570/(1+$P$3)</f>
        <v>2364.853940217391</v>
      </c>
      <c r="D101" s="574">
        <f>18765.6*(1+$P$3)</f>
        <v>20393.475968992247</v>
      </c>
      <c r="E101" s="512" t="s">
        <v>6911</v>
      </c>
      <c r="F101" s="575">
        <v>1174</v>
      </c>
      <c r="G101" s="579" t="s">
        <v>6920</v>
      </c>
      <c r="H101" s="579">
        <v>200</v>
      </c>
      <c r="I101" s="579">
        <v>1174</v>
      </c>
      <c r="J101" s="577">
        <f t="shared" si="102"/>
        <v>40671.446907946825</v>
      </c>
      <c r="K101" s="577">
        <f t="shared" si="99"/>
        <v>8328.3114823688375</v>
      </c>
      <c r="L101" s="577">
        <f t="shared" ref="L101:L138" si="103">K101+J101</f>
        <v>48999.758390315663</v>
      </c>
      <c r="M101" s="577">
        <f>L101*$O$48*1.00115/($O$53*0.99885)</f>
        <v>10578.095788225741</v>
      </c>
      <c r="N101" s="577">
        <f t="shared" si="100"/>
        <v>38421.66260208992</v>
      </c>
      <c r="O101" s="577">
        <f>N101*$O$53*0.99885/($O$54*1.003631981)</f>
        <v>18350.009076234117</v>
      </c>
      <c r="P101" s="444">
        <f t="shared" si="101"/>
        <v>0.89979800913462871</v>
      </c>
      <c r="Q101" s="444">
        <f>100*(O101-D101)/D101</f>
        <v>-10.020199086537128</v>
      </c>
      <c r="R101" s="516" t="s">
        <v>422</v>
      </c>
      <c r="S101" s="372"/>
      <c r="T101" s="460" t="s">
        <v>25</v>
      </c>
      <c r="U101" s="386"/>
      <c r="V101" s="386"/>
      <c r="X101" s="342"/>
      <c r="Y101" s="386"/>
      <c r="Z101" s="386"/>
      <c r="AA101" s="386"/>
      <c r="AB101" s="386"/>
      <c r="AC101" s="386"/>
    </row>
    <row r="102" spans="1:29" ht="18.75">
      <c r="A102" s="571" t="s">
        <v>6962</v>
      </c>
      <c r="B102" s="572" t="s">
        <v>4134</v>
      </c>
      <c r="C102" s="573">
        <f t="shared" ref="C102:C119" si="104">2668/(1+$P$3)</f>
        <v>2455.03125</v>
      </c>
      <c r="D102" s="574">
        <f>29714*(1+$P$3)</f>
        <v>32291.626430417131</v>
      </c>
      <c r="E102" s="501" t="s">
        <v>5595</v>
      </c>
      <c r="F102" s="580">
        <v>140.1</v>
      </c>
      <c r="G102" s="580" t="s">
        <v>6961</v>
      </c>
      <c r="H102" s="580">
        <v>39</v>
      </c>
      <c r="I102" s="580">
        <v>140.1</v>
      </c>
      <c r="J102" s="581">
        <f>C102*D102*0.9912/(F102*1.003631981)</f>
        <v>558850.45720939431</v>
      </c>
      <c r="K102" s="581">
        <f>J102*H102*0.99885/(I102*1.003631981-H102*0.99885)</f>
        <v>214159.49851816802</v>
      </c>
      <c r="L102" s="581">
        <f t="shared" si="103"/>
        <v>773009.95572756231</v>
      </c>
      <c r="M102" s="581">
        <f>L102*$O$46*1.00115/($O$52*0.9912)</f>
        <v>248191.68968030691</v>
      </c>
      <c r="N102" s="581">
        <f>L102-M102</f>
        <v>524818.26604725537</v>
      </c>
      <c r="O102" s="581">
        <f>N102*$O$52*0.9912/($O$54*1.003631981)</f>
        <v>28891.073949524016</v>
      </c>
      <c r="P102" s="444">
        <f>O102/D102</f>
        <v>0.89469243711769308</v>
      </c>
      <c r="Q102" s="444">
        <f>100*(O102-D102)/D102</f>
        <v>-10.530756288230689</v>
      </c>
      <c r="R102" s="501" t="s">
        <v>422</v>
      </c>
      <c r="S102" s="372" t="s">
        <v>25</v>
      </c>
      <c r="T102" s="386" t="s">
        <v>25</v>
      </c>
      <c r="U102" s="386"/>
      <c r="Y102" s="386"/>
      <c r="Z102" s="386"/>
      <c r="AA102" s="386"/>
      <c r="AB102" s="386"/>
      <c r="AC102" s="386"/>
    </row>
    <row r="103" spans="1:29" ht="18.75">
      <c r="A103" s="582" t="s">
        <v>6967</v>
      </c>
      <c r="B103" s="572" t="s">
        <v>4134</v>
      </c>
      <c r="C103" s="573">
        <f>2968/(1+$P$3)</f>
        <v>2731.0842391304345</v>
      </c>
      <c r="D103" s="574">
        <f>7472*(1+$P$3)</f>
        <v>8120.1801402731635</v>
      </c>
      <c r="E103" s="501" t="s">
        <v>5595</v>
      </c>
      <c r="F103" s="580">
        <v>147</v>
      </c>
      <c r="G103" s="580" t="s">
        <v>6961</v>
      </c>
      <c r="H103" s="580">
        <v>49.9</v>
      </c>
      <c r="I103" s="580">
        <v>147</v>
      </c>
      <c r="J103" s="581">
        <f t="shared" ref="J103:J124" si="105">C103*D103*0.9912/(F103*1.003631981)</f>
        <v>148994.49641989832</v>
      </c>
      <c r="K103" s="581">
        <f t="shared" ref="K103:K124" si="106">J103*H103*0.99885/(I103*1.003631981-H103*0.99885)</f>
        <v>76017.786340126448</v>
      </c>
      <c r="L103" s="583">
        <f t="shared" si="103"/>
        <v>225012.28276002477</v>
      </c>
      <c r="M103" s="583">
        <f>L103*$O$46*1.00115/($O$52*0.9912)</f>
        <v>72245.096254252945</v>
      </c>
      <c r="N103" s="583">
        <f>L103-M103</f>
        <v>152767.18650577182</v>
      </c>
      <c r="O103" s="583">
        <f>N103*$O$52*0.9912/($O$54*1.003631981)</f>
        <v>8409.7836678603198</v>
      </c>
      <c r="P103" s="444">
        <f>O103/D103</f>
        <v>1.0356646678502646</v>
      </c>
      <c r="Q103" s="444">
        <f>100*(O103-D103)/D103</f>
        <v>3.5664667850264471</v>
      </c>
      <c r="R103" s="584" t="s">
        <v>690</v>
      </c>
      <c r="S103" s="372" t="s">
        <v>25</v>
      </c>
      <c r="T103" s="386" t="s">
        <v>25</v>
      </c>
      <c r="U103" s="386"/>
      <c r="Y103" s="386"/>
      <c r="Z103" s="386"/>
      <c r="AA103" s="386"/>
      <c r="AB103" s="386"/>
      <c r="AC103" s="386"/>
    </row>
    <row r="104" spans="1:29" ht="18.75">
      <c r="A104" s="582" t="s">
        <v>6990</v>
      </c>
      <c r="B104" s="572" t="s">
        <v>4134</v>
      </c>
      <c r="C104" s="573">
        <f>2968/(1+$P$3)</f>
        <v>2731.0842391304345</v>
      </c>
      <c r="D104" s="574">
        <f>36004*(1+$P$3)</f>
        <v>39127.270579549651</v>
      </c>
      <c r="E104" s="501" t="s">
        <v>5595</v>
      </c>
      <c r="F104" s="580">
        <v>147</v>
      </c>
      <c r="G104" s="580" t="s">
        <v>6961</v>
      </c>
      <c r="H104" s="580">
        <v>49.7</v>
      </c>
      <c r="I104" s="580">
        <v>147</v>
      </c>
      <c r="J104" s="581">
        <f t="shared" si="105"/>
        <v>717933.33098260441</v>
      </c>
      <c r="K104" s="581">
        <f t="shared" si="106"/>
        <v>364080.78992363106</v>
      </c>
      <c r="L104" s="583">
        <f t="shared" si="103"/>
        <v>1082014.1209062354</v>
      </c>
      <c r="M104" s="583">
        <f>L104*$O$46*1.00115/($O$52*0.9912)</f>
        <v>347404.20991462166</v>
      </c>
      <c r="N104" s="583">
        <f t="shared" ref="N104:N128" si="107">L104-M104</f>
        <v>734609.91099161375</v>
      </c>
      <c r="O104" s="583">
        <f>N104*$O$52*0.9912/($O$54*1.003631981)</f>
        <v>40440.035409516327</v>
      </c>
      <c r="P104" s="444">
        <f>O104/D104</f>
        <v>1.0335511475889354</v>
      </c>
      <c r="Q104" s="444">
        <f>100*(O104-D104)/D104</f>
        <v>3.3551147588935297</v>
      </c>
      <c r="R104" s="584" t="s">
        <v>690</v>
      </c>
      <c r="S104" s="372"/>
      <c r="T104" s="386"/>
      <c r="Y104" s="386"/>
      <c r="Z104" s="386"/>
      <c r="AA104" s="386"/>
      <c r="AB104" s="386"/>
      <c r="AC104" s="386"/>
    </row>
    <row r="105" spans="1:29" ht="18.75">
      <c r="A105" s="582" t="s">
        <v>7000</v>
      </c>
      <c r="B105" s="572" t="s">
        <v>4134</v>
      </c>
      <c r="C105" s="573">
        <f>2968/(1+$P$3)</f>
        <v>2731.0842391304345</v>
      </c>
      <c r="D105" s="574">
        <f>15529.5*(1+$P$3)</f>
        <v>16876.651162790698</v>
      </c>
      <c r="E105" s="501" t="s">
        <v>5595</v>
      </c>
      <c r="F105" s="580">
        <v>147</v>
      </c>
      <c r="G105" s="580" t="s">
        <v>6961</v>
      </c>
      <c r="H105" s="580">
        <v>50.8</v>
      </c>
      <c r="I105" s="580">
        <v>147</v>
      </c>
      <c r="J105" s="581">
        <f t="shared" si="105"/>
        <v>309664.08353222848</v>
      </c>
      <c r="K105" s="581">
        <f t="shared" si="106"/>
        <v>162335.65505753053</v>
      </c>
      <c r="L105" s="583">
        <f t="shared" si="103"/>
        <v>471999.73858975898</v>
      </c>
      <c r="M105" s="583">
        <f>L105*$O$46*1.00115/($O$52*0.9912)</f>
        <v>151545.80064754331</v>
      </c>
      <c r="N105" s="583">
        <f t="shared" si="107"/>
        <v>320453.93794221571</v>
      </c>
      <c r="O105" s="583">
        <f>N105*$O$52*0.9912/($O$54*1.003631981)</f>
        <v>17640.884507002098</v>
      </c>
      <c r="P105" s="444">
        <f>O105/D105</f>
        <v>1.0452834710417174</v>
      </c>
      <c r="Q105" s="444">
        <f>100*(O105-D105)/D105</f>
        <v>4.5283471041717442</v>
      </c>
      <c r="R105" s="584" t="s">
        <v>690</v>
      </c>
      <c r="S105" s="372" t="s">
        <v>25</v>
      </c>
      <c r="T105" t="s">
        <v>25</v>
      </c>
      <c r="W105" s="384"/>
      <c r="X105" s="334"/>
      <c r="Y105" s="386"/>
      <c r="Z105" s="386"/>
      <c r="AA105" s="386"/>
      <c r="AB105" s="386"/>
      <c r="AC105" s="386"/>
    </row>
    <row r="106" spans="1:29" ht="18.75">
      <c r="A106" s="582" t="s">
        <v>7000</v>
      </c>
      <c r="B106" s="572" t="s">
        <v>4134</v>
      </c>
      <c r="C106" s="573">
        <f>2940/(1+$P$3)</f>
        <v>2705.319293478261</v>
      </c>
      <c r="D106" s="574">
        <f>26505.68*(1+$P$3)</f>
        <v>28804.991480251017</v>
      </c>
      <c r="E106" s="501" t="s">
        <v>5595</v>
      </c>
      <c r="F106" s="580">
        <v>144.1</v>
      </c>
      <c r="G106" s="580" t="s">
        <v>6961</v>
      </c>
      <c r="H106" s="580">
        <v>50.6</v>
      </c>
      <c r="I106" s="580">
        <v>144.1</v>
      </c>
      <c r="J106" s="581">
        <f t="shared" si="105"/>
        <v>534083.42696209415</v>
      </c>
      <c r="K106" s="581">
        <f t="shared" si="106"/>
        <v>286916.41094084526</v>
      </c>
      <c r="L106" s="583">
        <f t="shared" si="103"/>
        <v>820999.83790293941</v>
      </c>
      <c r="M106" s="583">
        <f>L106*$O$46*1.00115/($O$52*0.9912)</f>
        <v>263599.88702164032</v>
      </c>
      <c r="N106" s="583">
        <f t="shared" si="107"/>
        <v>557399.9508812991</v>
      </c>
      <c r="O106" s="583">
        <f>N106*$O$52*0.9912/($O$54*1.003631981)</f>
        <v>30684.685046618881</v>
      </c>
      <c r="P106" s="444">
        <f>O106/D106</f>
        <v>1.0652558278886004</v>
      </c>
      <c r="Q106" s="444">
        <f>100*(O106-D106)/D106</f>
        <v>6.5255827888600466</v>
      </c>
      <c r="R106" s="584" t="s">
        <v>7001</v>
      </c>
      <c r="S106" s="372" t="s">
        <v>25</v>
      </c>
      <c r="V106" s="384"/>
      <c r="W106" s="384"/>
      <c r="X106" s="334"/>
      <c r="Y106" s="386"/>
      <c r="Z106" s="386"/>
      <c r="AA106" s="386"/>
      <c r="AB106" s="386"/>
      <c r="AC106" s="386"/>
    </row>
    <row r="107" spans="1:29" ht="18.75">
      <c r="A107" s="582" t="s">
        <v>7003</v>
      </c>
      <c r="B107" s="572" t="s">
        <v>4134</v>
      </c>
      <c r="C107" s="573">
        <f>2941.9/(1+$P$3)</f>
        <v>2707.0676290760871</v>
      </c>
      <c r="D107" s="574">
        <f>114470*(1+$P$3)</f>
        <v>124400.02953119233</v>
      </c>
      <c r="E107" s="501" t="s">
        <v>5595</v>
      </c>
      <c r="F107" s="580">
        <v>146.00120000000001</v>
      </c>
      <c r="G107" s="580" t="s">
        <v>6961</v>
      </c>
      <c r="H107" s="580">
        <v>50.2</v>
      </c>
      <c r="I107" s="580">
        <v>146.00120000000001</v>
      </c>
      <c r="J107" s="581">
        <f t="shared" si="105"/>
        <v>2277980.3072777423</v>
      </c>
      <c r="K107" s="581">
        <f t="shared" si="106"/>
        <v>1185019.6845149247</v>
      </c>
      <c r="L107" s="583">
        <f t="shared" si="103"/>
        <v>3462999.9917926667</v>
      </c>
      <c r="M107" s="583">
        <f>L107*$O$46*1.00115/($O$52*0.9912)</f>
        <v>1111871.6039264395</v>
      </c>
      <c r="N107" s="583">
        <f t="shared" si="107"/>
        <v>2351128.387866227</v>
      </c>
      <c r="O107" s="583">
        <f>N107*$O$52*0.9912/($O$54*1.003631981)</f>
        <v>129428.84901904718</v>
      </c>
      <c r="P107" s="444">
        <f>O107/D107</f>
        <v>1.0404245843574653</v>
      </c>
      <c r="Q107" s="444">
        <f>100*(O107-D107)/D107</f>
        <v>4.042458435746525</v>
      </c>
      <c r="R107" s="584" t="s">
        <v>6856</v>
      </c>
      <c r="S107" s="372" t="s">
        <v>25</v>
      </c>
      <c r="T107" t="s">
        <v>25</v>
      </c>
      <c r="U107" s="35"/>
      <c r="V107" s="384"/>
      <c r="Y107" s="386"/>
      <c r="Z107" s="386"/>
      <c r="AA107" s="386"/>
      <c r="AB107" s="386"/>
      <c r="AC107" s="386"/>
    </row>
    <row r="108" spans="1:29" ht="18.75">
      <c r="A108" s="582" t="s">
        <v>7004</v>
      </c>
      <c r="B108" s="572" t="s">
        <v>4134</v>
      </c>
      <c r="C108" s="573">
        <f>2940/(1+$P$3)</f>
        <v>2705.319293478261</v>
      </c>
      <c r="D108" s="574">
        <f>7298.15*(1+$P$3)</f>
        <v>7931.2490217792538</v>
      </c>
      <c r="E108" s="501" t="s">
        <v>5595</v>
      </c>
      <c r="F108" s="580">
        <v>145.785</v>
      </c>
      <c r="G108" s="580" t="s">
        <v>6961</v>
      </c>
      <c r="H108" s="580">
        <v>55.1</v>
      </c>
      <c r="I108" s="580">
        <v>145.785</v>
      </c>
      <c r="J108" s="581">
        <f t="shared" si="105"/>
        <v>145356.37244831771</v>
      </c>
      <c r="K108" s="581">
        <f t="shared" si="106"/>
        <v>87643.665158068354</v>
      </c>
      <c r="L108" s="583">
        <f t="shared" si="103"/>
        <v>233000.03760638606</v>
      </c>
      <c r="M108" s="583">
        <f>L108*$O$46*1.00115/($O$52*0.9912)</f>
        <v>74809.738995761407</v>
      </c>
      <c r="N108" s="583">
        <f t="shared" si="107"/>
        <v>158190.29861062465</v>
      </c>
      <c r="O108" s="583">
        <f>N108*$O$52*0.9912/($O$54*1.003631981)</f>
        <v>8708.3242160731643</v>
      </c>
      <c r="P108" s="444">
        <f>O108/D108</f>
        <v>1.0979763959194899</v>
      </c>
      <c r="Q108" s="444">
        <f>100*(O108-D108)/D108</f>
        <v>9.7976395919489807</v>
      </c>
      <c r="R108" s="584" t="s">
        <v>1005</v>
      </c>
      <c r="S108" s="372" t="s">
        <v>25</v>
      </c>
      <c r="T108" s="25"/>
      <c r="U108" s="384"/>
      <c r="W108" s="340"/>
      <c r="Y108" s="386"/>
      <c r="Z108" s="386"/>
      <c r="AA108" s="386"/>
      <c r="AB108" s="386"/>
      <c r="AC108" s="386"/>
    </row>
    <row r="109" spans="1:29" ht="18.75">
      <c r="A109" s="582" t="s">
        <v>7003</v>
      </c>
      <c r="B109" s="572" t="s">
        <v>4134</v>
      </c>
      <c r="C109" s="573">
        <f>2968/(1+$P$3)</f>
        <v>2731.0842391304345</v>
      </c>
      <c r="D109" s="574">
        <f>7129.1293*(1+$P$3)</f>
        <v>7747.5661348098929</v>
      </c>
      <c r="E109" s="501" t="s">
        <v>5595</v>
      </c>
      <c r="F109" s="580">
        <v>144.30000000000001</v>
      </c>
      <c r="G109" s="580" t="s">
        <v>6961</v>
      </c>
      <c r="H109" s="580">
        <v>53.3</v>
      </c>
      <c r="I109" s="580">
        <v>144.30000000000001</v>
      </c>
      <c r="J109" s="581">
        <f t="shared" si="105"/>
        <v>144817.43754180896</v>
      </c>
      <c r="K109" s="581">
        <f t="shared" si="106"/>
        <v>84182.562830959825</v>
      </c>
      <c r="L109" s="583">
        <f t="shared" si="103"/>
        <v>229000.00037276879</v>
      </c>
      <c r="M109" s="583">
        <f>L109*$O$46*1.00115/($O$52*0.9912)</f>
        <v>73525.439883648141</v>
      </c>
      <c r="N109" s="583">
        <f t="shared" si="107"/>
        <v>155474.56048912066</v>
      </c>
      <c r="O109" s="583">
        <f>N109*$O$52*0.9912/($O$54*1.003631981)</f>
        <v>8558.8237204314064</v>
      </c>
      <c r="P109" s="444">
        <f>O109/D109</f>
        <v>1.1047112824215239</v>
      </c>
      <c r="Q109" s="444">
        <f>100*(O109-D109)/D109</f>
        <v>10.471128242152396</v>
      </c>
      <c r="R109" s="584" t="s">
        <v>690</v>
      </c>
      <c r="S109" s="372" t="s">
        <v>25</v>
      </c>
      <c r="T109" s="25"/>
      <c r="U109" s="384"/>
      <c r="V109" s="372"/>
      <c r="W109" s="340"/>
      <c r="Y109" s="386"/>
      <c r="Z109" s="386"/>
      <c r="AA109" s="386"/>
      <c r="AB109" s="386"/>
      <c r="AC109" s="386"/>
    </row>
    <row r="110" spans="1:29" ht="18.75">
      <c r="A110" s="582" t="s">
        <v>7003</v>
      </c>
      <c r="B110" s="572" t="s">
        <v>4134</v>
      </c>
      <c r="C110" s="573">
        <f>2959/(1+$P$3)</f>
        <v>2722.8026494565215</v>
      </c>
      <c r="D110" s="574">
        <f>58487.657*(1+$P$3)</f>
        <v>63561.337101513476</v>
      </c>
      <c r="E110" s="501" t="s">
        <v>5595</v>
      </c>
      <c r="F110" s="580">
        <v>146.25</v>
      </c>
      <c r="G110" s="580" t="s">
        <v>6961</v>
      </c>
      <c r="H110" s="580">
        <v>50.25</v>
      </c>
      <c r="I110" s="580">
        <v>146.25</v>
      </c>
      <c r="J110" s="581">
        <f t="shared" si="105"/>
        <v>1168692.1205589764</v>
      </c>
      <c r="K110" s="581">
        <f t="shared" si="106"/>
        <v>607307.92002439254</v>
      </c>
      <c r="L110" s="583">
        <f t="shared" si="103"/>
        <v>1776000.0405833689</v>
      </c>
      <c r="M110" s="583">
        <f>L110*$O$46*1.00115/($O$52*0.9912)</f>
        <v>570223.51093758794</v>
      </c>
      <c r="N110" s="583">
        <f t="shared" si="107"/>
        <v>1205776.529645781</v>
      </c>
      <c r="O110" s="583">
        <f>N110*$O$52*0.9912/($O$54*1.003631981)</f>
        <v>66377.603712177181</v>
      </c>
      <c r="P110" s="444">
        <f>O110/D110</f>
        <v>1.0443078566167647</v>
      </c>
      <c r="Q110" s="444">
        <f>100*(O110-D110)/D110</f>
        <v>4.4307856616764685</v>
      </c>
      <c r="R110" s="584" t="s">
        <v>5282</v>
      </c>
      <c r="T110" s="372" t="s">
        <v>25</v>
      </c>
      <c r="V110" s="372"/>
      <c r="W110" s="340"/>
      <c r="Y110" s="386"/>
      <c r="Z110" s="386"/>
      <c r="AA110" s="386"/>
      <c r="AB110" s="386"/>
      <c r="AC110" s="386"/>
    </row>
    <row r="111" spans="1:29" ht="18.75">
      <c r="A111" s="582" t="s">
        <v>7003</v>
      </c>
      <c r="B111" s="572" t="s">
        <v>4134</v>
      </c>
      <c r="C111" s="573">
        <f>2968/(1+$P$3)</f>
        <v>2731.0842391304345</v>
      </c>
      <c r="D111" s="574">
        <f>23353.6*(1+$P$3)</f>
        <v>25379.47523071244</v>
      </c>
      <c r="E111" s="501" t="s">
        <v>5595</v>
      </c>
      <c r="F111" s="580">
        <v>144.30000000000001</v>
      </c>
      <c r="G111" s="580" t="s">
        <v>7007</v>
      </c>
      <c r="H111" s="580">
        <v>26.4</v>
      </c>
      <c r="I111" s="580">
        <v>144.30000000000001</v>
      </c>
      <c r="J111" s="581">
        <f t="shared" si="105"/>
        <v>474392.9261286353</v>
      </c>
      <c r="K111" s="581">
        <f t="shared" si="106"/>
        <v>105606.58689893223</v>
      </c>
      <c r="L111" s="583">
        <f t="shared" si="103"/>
        <v>579999.51302756753</v>
      </c>
      <c r="M111" s="583">
        <f>L111*$O$45*1.00115/($O$52*0.9912)</f>
        <v>102421.81481235736</v>
      </c>
      <c r="N111" s="583">
        <f t="shared" si="107"/>
        <v>477577.69821521017</v>
      </c>
      <c r="O111" s="583">
        <f>N111*$O$52*0.9912/($O$54*1.003631981)</f>
        <v>26290.496136307749</v>
      </c>
      <c r="P111" s="444">
        <f>O111/D111</f>
        <v>1.0358959709495039</v>
      </c>
      <c r="Q111" s="444">
        <f>100*(O111-D111)/D111</f>
        <v>3.5895970949503964</v>
      </c>
      <c r="R111" s="584" t="s">
        <v>690</v>
      </c>
      <c r="S111" s="372" t="s">
        <v>25</v>
      </c>
      <c r="T111" s="372"/>
      <c r="U111" s="372" t="s">
        <v>25</v>
      </c>
      <c r="V111" s="372"/>
      <c r="X111" s="196"/>
      <c r="Y111" s="386"/>
      <c r="Z111" s="386"/>
      <c r="AA111" s="386"/>
      <c r="AB111" s="386"/>
      <c r="AC111" s="386"/>
    </row>
    <row r="112" spans="1:29" ht="18.75">
      <c r="A112" s="582" t="s">
        <v>7003</v>
      </c>
      <c r="B112" s="572" t="s">
        <v>4134</v>
      </c>
      <c r="C112" s="573">
        <f>2959/(1+$P$3)</f>
        <v>2722.8026494565215</v>
      </c>
      <c r="D112" s="574">
        <f>38079.1149*(1+$P$3)</f>
        <v>41382.397292580288</v>
      </c>
      <c r="E112" s="501" t="s">
        <v>5595</v>
      </c>
      <c r="F112" s="580">
        <v>146.25</v>
      </c>
      <c r="G112" s="580" t="s">
        <v>7007</v>
      </c>
      <c r="H112" s="580">
        <v>28</v>
      </c>
      <c r="I112" s="580">
        <v>146.25</v>
      </c>
      <c r="J112" s="581">
        <f t="shared" si="105"/>
        <v>760891.50812606339</v>
      </c>
      <c r="K112" s="581">
        <f t="shared" si="106"/>
        <v>179108.29587261379</v>
      </c>
      <c r="L112" s="583">
        <f t="shared" si="103"/>
        <v>939999.80399867718</v>
      </c>
      <c r="M112" s="583">
        <f>L112*$O$45*1.00115/($O$52*0.9912)</f>
        <v>165994.08048852737</v>
      </c>
      <c r="N112" s="583">
        <f t="shared" si="107"/>
        <v>774005.72351014987</v>
      </c>
      <c r="O112" s="583">
        <f>N112*$O$52*0.9912/($O$54*1.003631981)</f>
        <v>42608.762007671976</v>
      </c>
      <c r="P112" s="444">
        <f>O112/D112</f>
        <v>1.0296349364784521</v>
      </c>
      <c r="Q112" s="444">
        <f>100*(O112-D112)/D112</f>
        <v>2.9634936478452163</v>
      </c>
      <c r="R112" s="584" t="s">
        <v>5282</v>
      </c>
      <c r="S112" s="372" t="s">
        <v>25</v>
      </c>
      <c r="T112" s="372" t="s">
        <v>25</v>
      </c>
      <c r="U112" s="372"/>
      <c r="V112" s="372"/>
      <c r="Y112" s="386"/>
      <c r="Z112" s="386"/>
      <c r="AA112" s="386"/>
      <c r="AB112" s="386"/>
      <c r="AC112" s="386"/>
    </row>
    <row r="113" spans="1:35" ht="18.75">
      <c r="A113" s="571" t="s">
        <v>6962</v>
      </c>
      <c r="B113" s="572" t="s">
        <v>4134</v>
      </c>
      <c r="C113" s="573">
        <f>2668/(1+$P$3)</f>
        <v>2455.03125</v>
      </c>
      <c r="D113" s="574">
        <f>122474*(1+$P$3)</f>
        <v>133098.35954226652</v>
      </c>
      <c r="E113" s="501" t="s">
        <v>5595</v>
      </c>
      <c r="F113" s="580">
        <v>140.1</v>
      </c>
      <c r="G113" s="585" t="s">
        <v>6963</v>
      </c>
      <c r="H113" s="585">
        <v>6</v>
      </c>
      <c r="I113" s="585">
        <v>140.1</v>
      </c>
      <c r="J113" s="586">
        <f t="shared" si="105"/>
        <v>2303447.8998540537</v>
      </c>
      <c r="K113" s="586">
        <f t="shared" si="106"/>
        <v>102549.62423735425</v>
      </c>
      <c r="L113" s="586">
        <f t="shared" si="103"/>
        <v>2405997.5240914081</v>
      </c>
      <c r="M113" s="586">
        <f>L113*$O$44*1.00115/($O$52*0.9912)</f>
        <v>125530.91366745294</v>
      </c>
      <c r="N113" s="586">
        <f t="shared" si="107"/>
        <v>2280466.6104239551</v>
      </c>
      <c r="O113" s="586">
        <f>N113*$O$52*0.9912/($O$54*1.003631981)</f>
        <v>125538.94127466684</v>
      </c>
      <c r="P113" s="444">
        <f>O113/D113</f>
        <v>0.94320427168601484</v>
      </c>
      <c r="Q113" s="444">
        <f>100*(O113-D113)/D113</f>
        <v>-5.6795728313985174</v>
      </c>
      <c r="R113" s="501" t="s">
        <v>422</v>
      </c>
      <c r="S113" s="372"/>
      <c r="T113" s="372" t="s">
        <v>25</v>
      </c>
      <c r="U113" s="372"/>
      <c r="V113" s="372"/>
      <c r="Y113" s="386"/>
      <c r="Z113" s="386"/>
      <c r="AA113" s="386"/>
      <c r="AB113" s="386"/>
      <c r="AC113" s="386"/>
    </row>
    <row r="114" spans="1:35" ht="18.75">
      <c r="A114" s="571" t="s">
        <v>6992</v>
      </c>
      <c r="B114" s="572" t="s">
        <v>4134</v>
      </c>
      <c r="C114" s="573">
        <f>2968/(1+$P$3)</f>
        <v>2731.0842391304345</v>
      </c>
      <c r="D114" s="574">
        <f>3673*(1+$P$3)</f>
        <v>3991.6249538575121</v>
      </c>
      <c r="E114" s="501" t="s">
        <v>5595</v>
      </c>
      <c r="F114" s="580">
        <v>147</v>
      </c>
      <c r="G114" s="585" t="s">
        <v>6991</v>
      </c>
      <c r="H114" s="585">
        <v>27.5</v>
      </c>
      <c r="I114" s="585">
        <v>147</v>
      </c>
      <c r="J114" s="586">
        <f t="shared" si="105"/>
        <v>73241.004463368125</v>
      </c>
      <c r="K114" s="586">
        <f t="shared" si="106"/>
        <v>16755.945187030527</v>
      </c>
      <c r="L114" s="583">
        <f>K114+J114</f>
        <v>89996.949650398659</v>
      </c>
      <c r="M114" s="583">
        <f>L114*$O$43*1.00115/($O$52*0.9912)</f>
        <v>16554.703035177488</v>
      </c>
      <c r="N114" s="583">
        <f>L114-M114</f>
        <v>73442.246615221171</v>
      </c>
      <c r="O114" s="583">
        <f>N114*$O$52*0.9912/($O$54*1.003631981)</f>
        <v>4042.9716632394852</v>
      </c>
      <c r="P114" s="444">
        <f>O114/D114</f>
        <v>1.0128636106787416</v>
      </c>
      <c r="Q114" s="444">
        <f>100*(O114-D114)/D114</f>
        <v>1.286361067874165</v>
      </c>
      <c r="R114" s="584" t="s">
        <v>690</v>
      </c>
      <c r="S114" s="372"/>
      <c r="T114" s="372"/>
      <c r="U114" s="372"/>
      <c r="V114" s="372"/>
      <c r="Y114" s="386"/>
      <c r="Z114" s="386"/>
      <c r="AA114" s="386"/>
      <c r="AB114" s="386"/>
      <c r="AC114" s="386"/>
    </row>
    <row r="115" spans="1:35" ht="27" customHeight="1">
      <c r="A115" s="571" t="s">
        <v>6953</v>
      </c>
      <c r="B115" s="572" t="s">
        <v>6954</v>
      </c>
      <c r="C115" s="573">
        <f t="shared" si="104"/>
        <v>2455.03125</v>
      </c>
      <c r="D115" s="574">
        <f>37594.3*(1+$P$3)</f>
        <v>40855.525729051318</v>
      </c>
      <c r="E115" s="501" t="s">
        <v>5595</v>
      </c>
      <c r="F115" s="580">
        <v>142.19999999999999</v>
      </c>
      <c r="G115" s="587" t="s">
        <v>6948</v>
      </c>
      <c r="H115" s="587">
        <v>20</v>
      </c>
      <c r="I115" s="587">
        <v>142.19999999999999</v>
      </c>
      <c r="J115" s="588">
        <f t="shared" si="105"/>
        <v>696618.54718209174</v>
      </c>
      <c r="K115" s="588">
        <f t="shared" si="106"/>
        <v>113381.20474234983</v>
      </c>
      <c r="L115" s="588">
        <f t="shared" si="103"/>
        <v>809999.75192444155</v>
      </c>
      <c r="M115" s="588">
        <f>L115*$O$42*1.00115/($O$52*0.9912)</f>
        <v>108361.69572224378</v>
      </c>
      <c r="N115" s="588">
        <f t="shared" si="107"/>
        <v>701638.0562021978</v>
      </c>
      <c r="O115" s="588">
        <f>N115*$O$52*0.9912/($O$54*1.003631981)</f>
        <v>38624.945583949528</v>
      </c>
      <c r="P115" s="444">
        <f>O115/D115</f>
        <v>0.94540322012021782</v>
      </c>
      <c r="Q115" s="444">
        <f>100*(O115-D115)/D115</f>
        <v>-5.459677987978214</v>
      </c>
      <c r="R115" s="538" t="s">
        <v>422</v>
      </c>
      <c r="S115" s="372"/>
      <c r="T115" s="372"/>
      <c r="U115" s="372"/>
      <c r="V115" s="372"/>
      <c r="Y115" s="386"/>
      <c r="Z115" s="386"/>
      <c r="AA115" s="386"/>
      <c r="AB115" s="386"/>
      <c r="AC115" s="386"/>
    </row>
    <row r="116" spans="1:35" ht="18.75">
      <c r="A116" s="571" t="s">
        <v>6960</v>
      </c>
      <c r="B116" s="572" t="s">
        <v>4134</v>
      </c>
      <c r="C116" s="573">
        <f t="shared" si="104"/>
        <v>2455.03125</v>
      </c>
      <c r="D116" s="574">
        <f>10363.4*(1+$P$3)</f>
        <v>11262.402953119232</v>
      </c>
      <c r="E116" s="501" t="s">
        <v>5595</v>
      </c>
      <c r="F116" s="580">
        <v>140.1</v>
      </c>
      <c r="G116" s="587" t="s">
        <v>6948</v>
      </c>
      <c r="H116" s="587">
        <v>19.899999999999999</v>
      </c>
      <c r="I116" s="587">
        <v>140.1</v>
      </c>
      <c r="J116" s="588">
        <f t="shared" si="105"/>
        <v>194911.18086571436</v>
      </c>
      <c r="K116" s="588">
        <f t="shared" si="106"/>
        <v>32089.924496531588</v>
      </c>
      <c r="L116" s="588">
        <f t="shared" si="103"/>
        <v>227001.10536224593</v>
      </c>
      <c r="M116" s="588">
        <f>L116*$O$42*1.00115/($O$52*0.9912)</f>
        <v>30368.187952446759</v>
      </c>
      <c r="N116" s="588">
        <f t="shared" si="107"/>
        <v>196632.91740979918</v>
      </c>
      <c r="O116" s="588">
        <f>N116*$O$52*0.9912/($O$54*1.003631981)</f>
        <v>10824.57781163744</v>
      </c>
      <c r="P116" s="444">
        <f>O116/D116</f>
        <v>0.96112506866391856</v>
      </c>
      <c r="Q116" s="444">
        <f>100*(O116-D116)/D116</f>
        <v>-3.8874931336081482</v>
      </c>
      <c r="R116" s="538" t="s">
        <v>422</v>
      </c>
      <c r="S116" s="372"/>
      <c r="T116" s="372"/>
      <c r="U116" s="372"/>
      <c r="V116" s="372"/>
      <c r="Y116" s="386"/>
      <c r="Z116" s="386"/>
      <c r="AA116" s="386"/>
      <c r="AB116" s="386"/>
      <c r="AC116" s="386"/>
      <c r="AG116" s="386"/>
      <c r="AH116" s="386"/>
      <c r="AI116" s="386"/>
    </row>
    <row r="117" spans="1:35" ht="18.75">
      <c r="A117" s="571" t="s">
        <v>7003</v>
      </c>
      <c r="B117" s="572" t="s">
        <v>4134</v>
      </c>
      <c r="C117" s="573">
        <f>2968/(1+$P$3)</f>
        <v>2731.0842391304345</v>
      </c>
      <c r="D117" s="574">
        <f>26564.908*(1+$P$3)</f>
        <v>28869.35738353636</v>
      </c>
      <c r="E117" s="501" t="s">
        <v>5595</v>
      </c>
      <c r="F117" s="580">
        <v>144.30000000000001</v>
      </c>
      <c r="G117" s="587" t="s">
        <v>7008</v>
      </c>
      <c r="H117" s="587">
        <v>7</v>
      </c>
      <c r="I117" s="587">
        <v>144.30000000000001</v>
      </c>
      <c r="J117" s="588">
        <f t="shared" si="105"/>
        <v>539625.77240588143</v>
      </c>
      <c r="K117" s="588">
        <f t="shared" si="106"/>
        <v>27374.139923979405</v>
      </c>
      <c r="L117" s="583">
        <f t="shared" si="103"/>
        <v>566999.91232986085</v>
      </c>
      <c r="M117" s="583">
        <f>L117*$O$41*1.00115/($O$52*0.9912)</f>
        <v>26548.619477917469</v>
      </c>
      <c r="N117" s="583">
        <f t="shared" si="107"/>
        <v>540451.29285194341</v>
      </c>
      <c r="O117" s="583">
        <f>N117*$O$52*0.9912/($O$54*1.003631981)</f>
        <v>29751.666963694115</v>
      </c>
      <c r="P117" s="444">
        <f>O117/D117</f>
        <v>1.0305621482472249</v>
      </c>
      <c r="Q117" s="444">
        <f>100*(O117-D117)/D117</f>
        <v>3.0562148247224887</v>
      </c>
      <c r="R117" s="584" t="s">
        <v>690</v>
      </c>
      <c r="S117" s="372"/>
      <c r="T117" s="372"/>
      <c r="U117" s="372"/>
      <c r="V117" s="372"/>
      <c r="Y117" s="386"/>
      <c r="Z117" s="386"/>
      <c r="AA117" s="386"/>
      <c r="AB117" s="386"/>
      <c r="AC117" s="386"/>
      <c r="AG117" s="386"/>
      <c r="AH117" s="386"/>
      <c r="AI117" s="386"/>
    </row>
    <row r="118" spans="1:35" ht="18.75">
      <c r="A118" s="571" t="s">
        <v>6953</v>
      </c>
      <c r="B118" s="572" t="s">
        <v>4134</v>
      </c>
      <c r="C118" s="573">
        <f t="shared" si="104"/>
        <v>2455.03125</v>
      </c>
      <c r="D118" s="574">
        <f>99.45*(1+$P$3)</f>
        <v>108.07707641196014</v>
      </c>
      <c r="E118" s="501" t="s">
        <v>5595</v>
      </c>
      <c r="F118" s="580">
        <v>142.19999999999999</v>
      </c>
      <c r="G118" s="589" t="s">
        <v>6949</v>
      </c>
      <c r="H118" s="589">
        <v>11.2</v>
      </c>
      <c r="I118" s="589">
        <v>142.19999999999999</v>
      </c>
      <c r="J118" s="590">
        <f t="shared" si="105"/>
        <v>1842.7983635088035</v>
      </c>
      <c r="K118" s="590">
        <f t="shared" si="106"/>
        <v>156.737692303318</v>
      </c>
      <c r="L118" s="590">
        <f t="shared" si="103"/>
        <v>1999.5360558121215</v>
      </c>
      <c r="M118" s="590">
        <f>L118*$O$40*1.00115/($O$52*0.9912)</f>
        <v>200.62331854187434</v>
      </c>
      <c r="N118" s="590">
        <f t="shared" si="107"/>
        <v>1798.9127372702471</v>
      </c>
      <c r="O118" s="590">
        <f>N118*$O$52*0.9912/($O$54*1.003631981)</f>
        <v>99.02955800805853</v>
      </c>
      <c r="P118" s="444">
        <f>O118/D118</f>
        <v>0.91628642535244986</v>
      </c>
      <c r="Q118" s="444">
        <f>100*(O118-D118)/D118</f>
        <v>-8.3713574647550146</v>
      </c>
      <c r="R118" s="252" t="s">
        <v>422</v>
      </c>
      <c r="S118" s="372"/>
      <c r="T118" s="372"/>
      <c r="U118" s="372"/>
      <c r="Y118" s="386"/>
      <c r="Z118" s="386"/>
      <c r="AA118" s="386"/>
      <c r="AB118" s="386"/>
      <c r="AC118" s="386"/>
      <c r="AG118" s="386"/>
      <c r="AH118" s="386"/>
      <c r="AI118" s="386"/>
    </row>
    <row r="119" spans="1:35" ht="18.75">
      <c r="A119" s="571" t="s">
        <v>6964</v>
      </c>
      <c r="B119" s="572" t="s">
        <v>4134</v>
      </c>
      <c r="C119" s="573">
        <f t="shared" si="104"/>
        <v>2455.03125</v>
      </c>
      <c r="D119" s="574">
        <f>78056*(1+$P$3)</f>
        <v>84827.192321890005</v>
      </c>
      <c r="E119" s="501" t="s">
        <v>5595</v>
      </c>
      <c r="F119" s="580">
        <v>140.1</v>
      </c>
      <c r="G119" s="589" t="s">
        <v>6949</v>
      </c>
      <c r="H119" s="589">
        <v>8.6</v>
      </c>
      <c r="I119" s="589">
        <v>140.1</v>
      </c>
      <c r="J119" s="590">
        <f t="shared" si="105"/>
        <v>1468049.7842073259</v>
      </c>
      <c r="K119" s="590">
        <f t="shared" si="106"/>
        <v>95522.120841616488</v>
      </c>
      <c r="L119" s="590">
        <f t="shared" si="103"/>
        <v>1563571.9050489424</v>
      </c>
      <c r="M119" s="590">
        <f>L119*$O$40*1.00115/($O$52*0.9912)</f>
        <v>156880.88417208006</v>
      </c>
      <c r="N119" s="590">
        <f t="shared" si="107"/>
        <v>1406691.0208768623</v>
      </c>
      <c r="O119" s="590">
        <f>N119*$O$52*0.9912/($O$54*1.003631981)</f>
        <v>77437.88076275817</v>
      </c>
      <c r="P119" s="444">
        <f>O119/D119</f>
        <v>0.91288982510358307</v>
      </c>
      <c r="Q119" s="444">
        <f>100*(O119-D119)/D119</f>
        <v>-8.7110174896416943</v>
      </c>
      <c r="R119" s="252" t="s">
        <v>422</v>
      </c>
      <c r="S119" s="36"/>
      <c r="T119" s="372"/>
      <c r="U119" s="372"/>
      <c r="Y119" s="386"/>
      <c r="Z119" s="386"/>
      <c r="AA119" s="386"/>
      <c r="AB119" s="386"/>
      <c r="AC119" s="386"/>
      <c r="AG119" s="386"/>
      <c r="AH119" s="386"/>
      <c r="AI119" s="386"/>
    </row>
    <row r="120" spans="1:35" ht="18.75">
      <c r="A120" s="582" t="s">
        <v>6988</v>
      </c>
      <c r="B120" s="572" t="s">
        <v>4134</v>
      </c>
      <c r="C120" s="573">
        <f>2959/(1+$P$3)</f>
        <v>2722.8026494565215</v>
      </c>
      <c r="D120" s="574">
        <f>10262*(1+$P$3)</f>
        <v>11152.206718346253</v>
      </c>
      <c r="E120" s="501" t="s">
        <v>5595</v>
      </c>
      <c r="F120" s="580">
        <v>144.37559999999999</v>
      </c>
      <c r="G120" s="589" t="s">
        <v>6949</v>
      </c>
      <c r="H120" s="589">
        <v>8.1</v>
      </c>
      <c r="I120" s="589">
        <v>144.37559999999999</v>
      </c>
      <c r="J120" s="590">
        <f t="shared" si="105"/>
        <v>207716.01158191139</v>
      </c>
      <c r="K120" s="590">
        <f t="shared" si="106"/>
        <v>12283.996850747299</v>
      </c>
      <c r="L120" s="583">
        <f t="shared" si="103"/>
        <v>220000.00843265868</v>
      </c>
      <c r="M120" s="583">
        <f>L120*$O$40*1.00115/($O$52*0.9912)</f>
        <v>22073.686364747147</v>
      </c>
      <c r="N120" s="583">
        <f t="shared" si="107"/>
        <v>197926.32206791153</v>
      </c>
      <c r="O120" s="583">
        <f>N120*$O$52*0.9912/($O$54*1.003631981)</f>
        <v>10895.77931517051</v>
      </c>
      <c r="P120" s="444">
        <f>O120/D120</f>
        <v>0.97700657729434837</v>
      </c>
      <c r="Q120" s="444">
        <f>100*(O120-D120)/D120</f>
        <v>-2.2993422705651612</v>
      </c>
      <c r="R120" s="584" t="s">
        <v>5282</v>
      </c>
      <c r="S120" s="202" t="s">
        <v>5473</v>
      </c>
      <c r="T120" s="372"/>
      <c r="Y120" s="386"/>
      <c r="Z120" s="386"/>
      <c r="AA120" s="386"/>
      <c r="AB120" s="386"/>
      <c r="AC120" s="386"/>
      <c r="AG120" s="386"/>
      <c r="AH120" s="386"/>
      <c r="AI120" s="386"/>
    </row>
    <row r="121" spans="1:35" ht="18.75">
      <c r="A121" s="582" t="s">
        <v>7000</v>
      </c>
      <c r="B121" s="572" t="s">
        <v>4134</v>
      </c>
      <c r="C121" s="573">
        <f>2940/(1+$P$3)</f>
        <v>2705.319293478261</v>
      </c>
      <c r="D121" s="574">
        <f>147516*(1+$P$3)</f>
        <v>160312.69988925805</v>
      </c>
      <c r="E121" s="501" t="s">
        <v>5595</v>
      </c>
      <c r="F121" s="580">
        <v>145.81425999999999</v>
      </c>
      <c r="G121" s="589" t="s">
        <v>6949</v>
      </c>
      <c r="H121" s="589">
        <v>15.1</v>
      </c>
      <c r="I121" s="589">
        <v>145.81425999999999</v>
      </c>
      <c r="J121" s="590">
        <f t="shared" si="105"/>
        <v>2937468.793334757</v>
      </c>
      <c r="K121" s="590">
        <f t="shared" si="106"/>
        <v>337531.29645904823</v>
      </c>
      <c r="L121" s="583">
        <f t="shared" si="103"/>
        <v>3275000.089793805</v>
      </c>
      <c r="M121" s="583">
        <f>L121*$O$40*1.00115/($O$52*0.9912)</f>
        <v>328596.91843491618</v>
      </c>
      <c r="N121" s="583">
        <f t="shared" si="107"/>
        <v>2946403.171358889</v>
      </c>
      <c r="O121" s="583">
        <f>N121*$O$52*0.9912/($O$54*1.003631981)</f>
        <v>162198.5312172366</v>
      </c>
      <c r="P121" s="444">
        <f>O121/D121</f>
        <v>1.0117634556044608</v>
      </c>
      <c r="Q121" s="444">
        <f>100*(O121-D121)/D121</f>
        <v>1.17634556044609</v>
      </c>
      <c r="R121" s="584" t="s">
        <v>1005</v>
      </c>
      <c r="S121" s="36"/>
      <c r="T121" t="s">
        <v>25</v>
      </c>
      <c r="Z121" s="386"/>
      <c r="AA121" s="386"/>
      <c r="AB121" s="386"/>
      <c r="AC121" s="386"/>
      <c r="AG121" s="386"/>
      <c r="AH121" s="386"/>
      <c r="AI121" s="386"/>
    </row>
    <row r="122" spans="1:35" ht="18.75">
      <c r="A122" s="582" t="s">
        <v>7003</v>
      </c>
      <c r="B122" s="572" t="s">
        <v>4134</v>
      </c>
      <c r="C122" s="573">
        <f>2940/(1+$P$3)</f>
        <v>2705.319293478261</v>
      </c>
      <c r="D122" s="574">
        <f>99144.85*(1+$P$3)</f>
        <v>107745.45529715763</v>
      </c>
      <c r="E122" s="501" t="s">
        <v>5595</v>
      </c>
      <c r="F122" s="580">
        <v>144.1</v>
      </c>
      <c r="G122" s="589" t="s">
        <v>6949</v>
      </c>
      <c r="H122" s="589">
        <v>15</v>
      </c>
      <c r="I122" s="589">
        <v>144.1</v>
      </c>
      <c r="J122" s="590">
        <f t="shared" si="105"/>
        <v>1997746.1907652544</v>
      </c>
      <c r="K122" s="590">
        <f t="shared" si="106"/>
        <v>230882.35843643837</v>
      </c>
      <c r="L122" s="583">
        <f t="shared" si="103"/>
        <v>2228628.5492016929</v>
      </c>
      <c r="M122" s="583">
        <f>L122*$O$40*1.00115/($O$52*0.9912)</f>
        <v>223609.298786267</v>
      </c>
      <c r="N122" s="583">
        <f t="shared" si="107"/>
        <v>2005019.250415426</v>
      </c>
      <c r="O122" s="583">
        <f>N122*$O$52*0.9912/($O$54*1.003631981)</f>
        <v>110375.65416740933</v>
      </c>
      <c r="P122" s="444">
        <f>O122/D122</f>
        <v>1.0244112279538633</v>
      </c>
      <c r="Q122" s="444">
        <f>100*(O122-D122)/D122</f>
        <v>2.4411227953863248</v>
      </c>
      <c r="R122" s="584" t="s">
        <v>1005</v>
      </c>
      <c r="T122" s="372"/>
    </row>
    <row r="123" spans="1:35" ht="18.75">
      <c r="A123" s="582" t="s">
        <v>7003</v>
      </c>
      <c r="B123" s="572" t="s">
        <v>4134</v>
      </c>
      <c r="C123" s="573">
        <f>2968/(1+$P$3)</f>
        <v>2731.0842391304345</v>
      </c>
      <c r="D123" s="574">
        <f>181981.74*(1+$P$3)</f>
        <v>197768.26967884827</v>
      </c>
      <c r="E123" s="501" t="s">
        <v>5595</v>
      </c>
      <c r="F123" s="580">
        <v>144.30000000000001</v>
      </c>
      <c r="G123" s="589" t="s">
        <v>6949</v>
      </c>
      <c r="H123" s="589">
        <v>15.9</v>
      </c>
      <c r="I123" s="589">
        <v>144.30000000000001</v>
      </c>
      <c r="J123" s="590">
        <f t="shared" si="105"/>
        <v>3696682.7444411363</v>
      </c>
      <c r="K123" s="590">
        <f t="shared" si="106"/>
        <v>455317.0327486617</v>
      </c>
      <c r="L123" s="583">
        <f t="shared" si="103"/>
        <v>4151999.7771897977</v>
      </c>
      <c r="M123" s="583">
        <f>L123*$O$40*1.00115/($O$52*0.9912)</f>
        <v>416590.62434191408</v>
      </c>
      <c r="N123" s="583">
        <f t="shared" si="107"/>
        <v>3735409.1528478838</v>
      </c>
      <c r="O123" s="583">
        <f>N123*$O$52*0.9912/($O$54*1.003631981)</f>
        <v>205633.05252210828</v>
      </c>
      <c r="P123" s="444">
        <f>O123/D123</f>
        <v>1.0397676677660752</v>
      </c>
      <c r="Q123" s="444">
        <f>100*(O123-D123)/D123</f>
        <v>3.9767667766075228</v>
      </c>
      <c r="R123" s="584" t="s">
        <v>690</v>
      </c>
      <c r="T123" s="372" t="s">
        <v>25</v>
      </c>
      <c r="U123" s="196"/>
      <c r="AI123" s="372"/>
    </row>
    <row r="124" spans="1:35" ht="18.75">
      <c r="A124" s="582" t="s">
        <v>7003</v>
      </c>
      <c r="B124" s="572" t="s">
        <v>4134</v>
      </c>
      <c r="C124" s="573">
        <f>2959/(1+$P$3)</f>
        <v>2722.8026494565215</v>
      </c>
      <c r="D124" s="574">
        <f>342188.4719*(1+$P$3)</f>
        <v>371872.59552366188</v>
      </c>
      <c r="E124" s="501" t="s">
        <v>5595</v>
      </c>
      <c r="F124" s="580">
        <v>146.25</v>
      </c>
      <c r="G124" s="589" t="s">
        <v>6949</v>
      </c>
      <c r="H124" s="589">
        <v>16</v>
      </c>
      <c r="I124" s="589">
        <v>146.25</v>
      </c>
      <c r="J124" s="590">
        <f t="shared" si="105"/>
        <v>6837561.8270303886</v>
      </c>
      <c r="K124" s="590">
        <f t="shared" si="106"/>
        <v>835439.84175138269</v>
      </c>
      <c r="L124" s="583">
        <f t="shared" si="103"/>
        <v>7673001.6687817713</v>
      </c>
      <c r="M124" s="583">
        <f>L124*$O$40*1.00115/($O$52*0.9912)</f>
        <v>769870.1173673562</v>
      </c>
      <c r="N124" s="583">
        <f t="shared" si="107"/>
        <v>6903131.5514144152</v>
      </c>
      <c r="O124" s="583">
        <f>N124*$O$52*0.9912/($O$54*1.003631981)</f>
        <v>380015.1348338332</v>
      </c>
      <c r="P124" s="444">
        <f>O124/D124</f>
        <v>1.0218960456032131</v>
      </c>
      <c r="Q124" s="444">
        <f>100*(O124-D124)/D124</f>
        <v>2.1896045603213117</v>
      </c>
      <c r="R124" s="584" t="s">
        <v>5282</v>
      </c>
      <c r="T124" s="372"/>
      <c r="U124" t="s">
        <v>25</v>
      </c>
      <c r="Y124" t="s">
        <v>25</v>
      </c>
      <c r="AH124" t="s">
        <v>25</v>
      </c>
    </row>
    <row r="125" spans="1:35" ht="18.75">
      <c r="A125" s="592" t="s">
        <v>6923</v>
      </c>
      <c r="B125" s="236" t="s">
        <v>5140</v>
      </c>
      <c r="C125" s="593">
        <v>706.2</v>
      </c>
      <c r="D125" s="594">
        <v>83828</v>
      </c>
      <c r="E125" s="512" t="s">
        <v>6911</v>
      </c>
      <c r="F125" s="575">
        <v>1096.7</v>
      </c>
      <c r="G125" s="575" t="s">
        <v>6919</v>
      </c>
      <c r="H125" s="575">
        <v>260</v>
      </c>
      <c r="I125" s="575">
        <v>1096.7</v>
      </c>
      <c r="J125" s="595">
        <f t="shared" ref="J125:J133" si="108">C125*D125*0.9912/(F125*1.00115)</f>
        <v>53443.035325023156</v>
      </c>
      <c r="K125" s="595">
        <f t="shared" ref="K125:K133" si="109">J125*H125*0.99885/(I125*1.00115-H125*0.99885)</f>
        <v>16557.16164761017</v>
      </c>
      <c r="L125" s="595">
        <f t="shared" si="103"/>
        <v>70000.196972633334</v>
      </c>
      <c r="M125" s="595">
        <f>L125*$O$47*1.00115/($O$53*0.9912)</f>
        <v>19035.391460004306</v>
      </c>
      <c r="N125" s="595">
        <f t="shared" si="107"/>
        <v>50964.805512629027</v>
      </c>
      <c r="O125" s="595">
        <f>N125*$O$53*0.99885/($O$55*1.003631981)</f>
        <v>67078.908605378761</v>
      </c>
      <c r="P125" s="444">
        <f>O125/D125</f>
        <v>0.80019693426276139</v>
      </c>
      <c r="Q125" s="444">
        <f>100*(O125-D125)/D125</f>
        <v>-19.980306573723862</v>
      </c>
      <c r="R125" s="516" t="s">
        <v>422</v>
      </c>
      <c r="S125" t="s">
        <v>25</v>
      </c>
      <c r="T125" s="372"/>
      <c r="U125" t="s">
        <v>25</v>
      </c>
    </row>
    <row r="126" spans="1:35" ht="18.75">
      <c r="A126" s="592" t="s">
        <v>6928</v>
      </c>
      <c r="B126" s="236" t="s">
        <v>5140</v>
      </c>
      <c r="C126" s="593">
        <v>706.2</v>
      </c>
      <c r="D126" s="594">
        <v>37174</v>
      </c>
      <c r="E126" s="512" t="s">
        <v>6911</v>
      </c>
      <c r="F126" s="575">
        <v>1093</v>
      </c>
      <c r="G126" s="579" t="s">
        <v>6920</v>
      </c>
      <c r="H126" s="579">
        <v>197.2</v>
      </c>
      <c r="I126" s="579">
        <v>1093</v>
      </c>
      <c r="J126" s="596">
        <f t="shared" si="108"/>
        <v>23779.843250307891</v>
      </c>
      <c r="K126" s="596">
        <f t="shared" si="109"/>
        <v>5220.1908264941021</v>
      </c>
      <c r="L126" s="596">
        <f t="shared" si="103"/>
        <v>29000.034076801992</v>
      </c>
      <c r="M126" s="596">
        <f>L126*$O$48*1.00115/($O$53*0.99885)</f>
        <v>6260.5438966174852</v>
      </c>
      <c r="N126" s="596">
        <f t="shared" si="107"/>
        <v>22739.490180184508</v>
      </c>
      <c r="O126" s="596">
        <f>N126*$O$53*0.99885/($O$55*1.003631981)</f>
        <v>29929.284889579867</v>
      </c>
      <c r="P126" s="444">
        <f>O126/D126</f>
        <v>0.80511338272932342</v>
      </c>
      <c r="Q126" s="444">
        <f>100*(O126-D126)/D126</f>
        <v>-19.488661727067662</v>
      </c>
      <c r="R126" s="516" t="s">
        <v>422</v>
      </c>
      <c r="S126" t="s">
        <v>25</v>
      </c>
      <c r="T126" s="372"/>
      <c r="U126" t="s">
        <v>25</v>
      </c>
      <c r="V126" t="s">
        <v>25</v>
      </c>
    </row>
    <row r="127" spans="1:35" ht="18.75">
      <c r="A127" s="592" t="s">
        <v>6929</v>
      </c>
      <c r="B127" s="236" t="s">
        <v>5140</v>
      </c>
      <c r="C127" s="593">
        <v>718.9</v>
      </c>
      <c r="D127" s="594">
        <v>79065</v>
      </c>
      <c r="E127" s="512" t="s">
        <v>6911</v>
      </c>
      <c r="F127" s="575">
        <v>1120.5</v>
      </c>
      <c r="G127" s="579" t="s">
        <v>6920</v>
      </c>
      <c r="H127" s="579">
        <v>183</v>
      </c>
      <c r="I127" s="579">
        <v>1120.5</v>
      </c>
      <c r="J127" s="596">
        <f t="shared" si="108"/>
        <v>50223.044934469937</v>
      </c>
      <c r="K127" s="596">
        <f t="shared" si="109"/>
        <v>9776.631858804687</v>
      </c>
      <c r="L127" s="596">
        <f t="shared" si="103"/>
        <v>59999.676793274622</v>
      </c>
      <c r="M127" s="596">
        <f>L127*$O$48*1.00115/($O$53*0.99885)</f>
        <v>12952.764446840269</v>
      </c>
      <c r="N127" s="596">
        <f t="shared" si="107"/>
        <v>47046.912346434357</v>
      </c>
      <c r="O127" s="596">
        <f>N127*$O$53*0.99885/($O$55*1.003631981)</f>
        <v>61922.252066079571</v>
      </c>
      <c r="P127" s="444">
        <f>O127/D127</f>
        <v>0.78318158560778561</v>
      </c>
      <c r="Q127" s="444">
        <f>100*(O127-D127)/D127</f>
        <v>-21.681841439221436</v>
      </c>
      <c r="R127" s="516" t="s">
        <v>422</v>
      </c>
      <c r="S127" t="s">
        <v>25</v>
      </c>
      <c r="T127" s="372"/>
    </row>
    <row r="128" spans="1:35" ht="18.75">
      <c r="A128" s="592" t="s">
        <v>6931</v>
      </c>
      <c r="B128" s="236" t="s">
        <v>5140</v>
      </c>
      <c r="C128" s="593">
        <v>721</v>
      </c>
      <c r="D128" s="594">
        <v>65907</v>
      </c>
      <c r="E128" s="512" t="s">
        <v>6911</v>
      </c>
      <c r="F128" s="575">
        <v>1130</v>
      </c>
      <c r="G128" s="579" t="s">
        <v>6920</v>
      </c>
      <c r="H128" s="579">
        <v>189.5</v>
      </c>
      <c r="I128" s="579">
        <v>1130</v>
      </c>
      <c r="J128" s="596">
        <f t="shared" si="108"/>
        <v>41634.227069312765</v>
      </c>
      <c r="K128" s="596">
        <f t="shared" si="109"/>
        <v>8365.676346911192</v>
      </c>
      <c r="L128" s="596">
        <f t="shared" si="103"/>
        <v>49999.903416223955</v>
      </c>
      <c r="M128" s="596">
        <f>L128*$O$48*1.00115/($O$53*0.99885)</f>
        <v>10794.007666849746</v>
      </c>
      <c r="N128" s="596">
        <f t="shared" si="107"/>
        <v>39205.895749374205</v>
      </c>
      <c r="O128" s="596">
        <f>N128*$O$53*0.99885/($O$55*1.003631981)</f>
        <v>51602.055012504585</v>
      </c>
      <c r="P128" s="444">
        <f>O128/D128</f>
        <v>0.78295256971952276</v>
      </c>
      <c r="Q128" s="444">
        <f>100*(O128-D128)/D128</f>
        <v>-21.704743028047726</v>
      </c>
      <c r="R128" s="516" t="s">
        <v>422</v>
      </c>
      <c r="S128" t="s">
        <v>25</v>
      </c>
      <c r="T128" s="372" t="s">
        <v>25</v>
      </c>
    </row>
    <row r="129" spans="1:23" ht="18.75">
      <c r="A129" s="592" t="s">
        <v>6922</v>
      </c>
      <c r="B129" s="236" t="s">
        <v>5140</v>
      </c>
      <c r="C129" s="593">
        <v>706.2</v>
      </c>
      <c r="D129" s="594">
        <v>694479</v>
      </c>
      <c r="E129" s="512" t="s">
        <v>6911</v>
      </c>
      <c r="F129" s="575">
        <v>1091.4000000000001</v>
      </c>
      <c r="G129" s="576" t="s">
        <v>6921</v>
      </c>
      <c r="H129" s="576">
        <v>139.19999999999999</v>
      </c>
      <c r="I129" s="576">
        <v>1091.4000000000001</v>
      </c>
      <c r="J129" s="577">
        <f t="shared" si="108"/>
        <v>444902.68149275385</v>
      </c>
      <c r="K129" s="577">
        <f t="shared" si="109"/>
        <v>64868.129085210938</v>
      </c>
      <c r="L129" s="577">
        <f t="shared" si="103"/>
        <v>509770.81057796476</v>
      </c>
      <c r="M129" s="577">
        <f>L129*$O$49*1.00115/($O$53*0.99885)</f>
        <v>78606.866667456721</v>
      </c>
      <c r="N129" s="577">
        <f>L129-M129</f>
        <v>431163.94391050807</v>
      </c>
      <c r="O129" s="577">
        <f>N129*$O$53*0.99885/($O$55*1.003631981)</f>
        <v>567489.79019140534</v>
      </c>
      <c r="P129" s="444">
        <f>O129/D129</f>
        <v>0.81714463675849858</v>
      </c>
      <c r="Q129" s="444">
        <f>100*(O129-D129)/D129</f>
        <v>-18.28553632415014</v>
      </c>
      <c r="R129" s="578" t="s">
        <v>422</v>
      </c>
      <c r="T129" s="36"/>
      <c r="U129" t="s">
        <v>25</v>
      </c>
    </row>
    <row r="130" spans="1:23" ht="18.75">
      <c r="A130" s="592" t="s">
        <v>6928</v>
      </c>
      <c r="B130" s="236" t="s">
        <v>5140</v>
      </c>
      <c r="C130" s="593">
        <v>706.2</v>
      </c>
      <c r="D130" s="594">
        <v>157817</v>
      </c>
      <c r="E130" s="512" t="s">
        <v>6911</v>
      </c>
      <c r="F130" s="575">
        <v>1093</v>
      </c>
      <c r="G130" s="576" t="s">
        <v>6921</v>
      </c>
      <c r="H130" s="576">
        <v>142.1</v>
      </c>
      <c r="I130" s="576">
        <v>1093</v>
      </c>
      <c r="J130" s="577">
        <f t="shared" si="108"/>
        <v>100953.98725544306</v>
      </c>
      <c r="K130" s="577">
        <f t="shared" si="109"/>
        <v>15046.474610643356</v>
      </c>
      <c r="L130" s="577">
        <f t="shared" si="103"/>
        <v>116000.46186608642</v>
      </c>
      <c r="M130" s="577">
        <f>L130*$O$49*1.00115/($O$53*0.99885)</f>
        <v>17887.318477361645</v>
      </c>
      <c r="N130" s="577">
        <f t="shared" ref="N130:N133" si="110">L130-M130</f>
        <v>98113.143388724769</v>
      </c>
      <c r="O130" s="577">
        <f>N130*$O$53*0.99885/($O$55*1.003631981)</f>
        <v>129134.6550263563</v>
      </c>
      <c r="P130" s="444">
        <f t="shared" ref="P130:P133" si="111">O130/D130</f>
        <v>0.81825566970830965</v>
      </c>
      <c r="Q130" s="444">
        <f>100*(O130-D130)/D130</f>
        <v>-18.174433029169037</v>
      </c>
      <c r="R130" s="578" t="s">
        <v>422</v>
      </c>
      <c r="S130" t="s">
        <v>25</v>
      </c>
      <c r="T130" s="36" t="s">
        <v>25</v>
      </c>
      <c r="U130" t="s">
        <v>25</v>
      </c>
    </row>
    <row r="131" spans="1:23" ht="18.75">
      <c r="A131" s="592" t="s">
        <v>6929</v>
      </c>
      <c r="B131" s="236" t="s">
        <v>5140</v>
      </c>
      <c r="C131" s="593">
        <v>718.9</v>
      </c>
      <c r="D131" s="594">
        <v>282548</v>
      </c>
      <c r="E131" s="512" t="s">
        <v>6911</v>
      </c>
      <c r="F131" s="575">
        <v>1120.5</v>
      </c>
      <c r="G131" s="576" t="s">
        <v>6921</v>
      </c>
      <c r="H131" s="576">
        <v>135</v>
      </c>
      <c r="I131" s="576">
        <v>1120.5</v>
      </c>
      <c r="J131" s="577">
        <f t="shared" si="108"/>
        <v>179477.90931694949</v>
      </c>
      <c r="K131" s="577">
        <f t="shared" si="109"/>
        <v>24521.814919270328</v>
      </c>
      <c r="L131" s="577">
        <f t="shared" si="103"/>
        <v>203999.72423621983</v>
      </c>
      <c r="M131" s="577">
        <f>L131*$O$49*1.00115/($O$53*0.99885)</f>
        <v>31456.840584994508</v>
      </c>
      <c r="N131" s="577">
        <f t="shared" si="110"/>
        <v>172542.88365122533</v>
      </c>
      <c r="O131" s="577">
        <f>N131*$O$53*0.99885/($O$55*1.003631981)</f>
        <v>227097.6648793651</v>
      </c>
      <c r="P131" s="444">
        <f t="shared" si="111"/>
        <v>0.80374897319876659</v>
      </c>
      <c r="Q131" s="444">
        <f>100*(O131-D131)/D131</f>
        <v>-19.625102680123344</v>
      </c>
      <c r="R131" s="578" t="s">
        <v>422</v>
      </c>
      <c r="T131" s="323"/>
      <c r="U131" t="s">
        <v>25</v>
      </c>
    </row>
    <row r="132" spans="1:23" ht="18.75">
      <c r="A132" s="592" t="s">
        <v>6953</v>
      </c>
      <c r="B132" s="236" t="s">
        <v>5140</v>
      </c>
      <c r="C132" s="593">
        <v>784</v>
      </c>
      <c r="D132" s="594">
        <v>1080557</v>
      </c>
      <c r="E132" s="512" t="s">
        <v>6911</v>
      </c>
      <c r="F132" s="575">
        <v>1206</v>
      </c>
      <c r="G132" s="576" t="s">
        <v>6921</v>
      </c>
      <c r="H132" s="576">
        <v>150</v>
      </c>
      <c r="I132" s="576">
        <v>1206</v>
      </c>
      <c r="J132" s="577">
        <f t="shared" si="108"/>
        <v>695470.28309285117</v>
      </c>
      <c r="K132" s="577">
        <f t="shared" si="109"/>
        <v>98529.287187172813</v>
      </c>
      <c r="L132" s="577">
        <f t="shared" si="103"/>
        <v>793999.57028002397</v>
      </c>
      <c r="M132" s="577">
        <f>L132*$O$49*1.00115/($O$53*0.99885)</f>
        <v>122435.05720591695</v>
      </c>
      <c r="N132" s="577">
        <f t="shared" si="110"/>
        <v>671564.513074107</v>
      </c>
      <c r="O132" s="577">
        <f>N132*$O$53*0.99885/($O$55*1.003631981)</f>
        <v>883900.45134089468</v>
      </c>
      <c r="P132" s="444">
        <f t="shared" si="111"/>
        <v>0.81800446560514128</v>
      </c>
      <c r="Q132" s="444">
        <f>100*(O132-D132)/D132</f>
        <v>-18.199553439485868</v>
      </c>
      <c r="R132" s="578" t="s">
        <v>422</v>
      </c>
      <c r="T132" t="s">
        <v>25</v>
      </c>
      <c r="U132" t="s">
        <v>25</v>
      </c>
    </row>
    <row r="133" spans="1:23" ht="18.75">
      <c r="A133" s="592" t="s">
        <v>6959</v>
      </c>
      <c r="B133" s="236" t="s">
        <v>5140</v>
      </c>
      <c r="C133" s="593">
        <v>820</v>
      </c>
      <c r="D133" s="594">
        <v>930950</v>
      </c>
      <c r="E133" s="512" t="s">
        <v>6911</v>
      </c>
      <c r="F133" s="575">
        <v>1199.2</v>
      </c>
      <c r="G133" s="576" t="s">
        <v>6921</v>
      </c>
      <c r="H133" s="576">
        <v>132</v>
      </c>
      <c r="I133" s="576">
        <v>1199.2</v>
      </c>
      <c r="J133" s="577">
        <f t="shared" si="108"/>
        <v>630246.91784567828</v>
      </c>
      <c r="K133" s="577">
        <f t="shared" si="109"/>
        <v>77752.896663283973</v>
      </c>
      <c r="L133" s="577">
        <f t="shared" si="103"/>
        <v>707999.81450896221</v>
      </c>
      <c r="M133" s="577">
        <f>L133*$O$49*1.00115/($O$53*0.99885)</f>
        <v>109173.85983044306</v>
      </c>
      <c r="N133" s="577">
        <f t="shared" si="110"/>
        <v>598825.95467851916</v>
      </c>
      <c r="O133" s="577">
        <f>N133*$O$53*0.99885/($O$55*1.003631981)</f>
        <v>788163.34292603808</v>
      </c>
      <c r="P133" s="444">
        <f t="shared" si="111"/>
        <v>0.84662263593752407</v>
      </c>
      <c r="Q133" s="444">
        <f>100*(O133-D133)/D133</f>
        <v>-15.337736406247588</v>
      </c>
      <c r="R133" s="578" t="s">
        <v>422</v>
      </c>
      <c r="T133" t="s">
        <v>25</v>
      </c>
    </row>
    <row r="134" spans="1:23" ht="18.75">
      <c r="A134" s="592" t="s">
        <v>6960</v>
      </c>
      <c r="B134" s="236" t="s">
        <v>5140</v>
      </c>
      <c r="C134" s="593">
        <v>820</v>
      </c>
      <c r="D134" s="594">
        <v>100125</v>
      </c>
      <c r="E134" s="501" t="s">
        <v>5595</v>
      </c>
      <c r="F134" s="580">
        <v>140.1</v>
      </c>
      <c r="G134" s="589" t="s">
        <v>6949</v>
      </c>
      <c r="H134" s="589">
        <v>8.6</v>
      </c>
      <c r="I134" s="589">
        <v>140.1</v>
      </c>
      <c r="J134" s="590">
        <f t="shared" ref="J134:J136" si="112">C134*D134*0.9912/(F134*1.003631981)</f>
        <v>578768.71531380643</v>
      </c>
      <c r="K134" s="590">
        <f>J134*H134*0.99885/(I134*1.003631981-H134*0.99885)</f>
        <v>37658.951187002029</v>
      </c>
      <c r="L134" s="590">
        <f t="shared" si="103"/>
        <v>616427.66650080844</v>
      </c>
      <c r="M134" s="590">
        <f>L134*$O$40*1.00115/($O$52*0.9912)</f>
        <v>61849.22934244707</v>
      </c>
      <c r="N134" s="590">
        <f t="shared" ref="N134" si="113">L134-M134</f>
        <v>554578.43715836131</v>
      </c>
      <c r="O134" s="590">
        <f>N134*$O$52*0.9912/($O$55*1.003631981)</f>
        <v>84134.324190484505</v>
      </c>
      <c r="P134" s="444">
        <f t="shared" ref="P134" si="114">O134/D134</f>
        <v>0.8402928758100825</v>
      </c>
      <c r="Q134" s="444">
        <f>100*(O134-D134)/D134</f>
        <v>-15.970712418991756</v>
      </c>
      <c r="R134" s="252" t="s">
        <v>422</v>
      </c>
      <c r="T134" t="s">
        <v>25</v>
      </c>
    </row>
    <row r="135" spans="1:23" ht="18.75">
      <c r="A135" s="592" t="s">
        <v>7003</v>
      </c>
      <c r="B135" s="236" t="s">
        <v>5140</v>
      </c>
      <c r="C135" s="593">
        <v>861</v>
      </c>
      <c r="D135" s="594">
        <v>54921.7</v>
      </c>
      <c r="E135" s="501" t="s">
        <v>5595</v>
      </c>
      <c r="F135" s="580">
        <v>142.4</v>
      </c>
      <c r="G135" s="589" t="s">
        <v>6949</v>
      </c>
      <c r="H135" s="589">
        <v>15</v>
      </c>
      <c r="I135" s="589">
        <v>142.4</v>
      </c>
      <c r="J135" s="590">
        <f t="shared" si="112"/>
        <v>327962.30894709809</v>
      </c>
      <c r="K135" s="590">
        <f t="shared" ref="K135:K137" si="115">J135*H135*0.99885/(I135*1.003631981-H135*0.99885)</f>
        <v>38408.556187975191</v>
      </c>
      <c r="L135" s="590">
        <f t="shared" si="103"/>
        <v>366370.86513507331</v>
      </c>
      <c r="M135" s="590">
        <f>L135*$O$40*1.00115/($O$52*0.9912)</f>
        <v>36759.796637226667</v>
      </c>
      <c r="N135" s="590">
        <f t="shared" ref="N135:N136" si="116">L135-M135</f>
        <v>329611.06849784666</v>
      </c>
      <c r="O135" s="590">
        <f>N135*$O$52*0.9912/($O$55*1.003631981)</f>
        <v>50004.837252356054</v>
      </c>
      <c r="P135" s="444">
        <f>O135/D135</f>
        <v>0.91047504451530192</v>
      </c>
      <c r="Q135" s="444">
        <f>100*(O135-D135)/D135</f>
        <v>-8.952495548469809</v>
      </c>
      <c r="R135" s="584" t="s">
        <v>1005</v>
      </c>
      <c r="S135" s="561"/>
      <c r="U135" s="372"/>
      <c r="W135" t="s">
        <v>25</v>
      </c>
    </row>
    <row r="136" spans="1:23" ht="18.75">
      <c r="A136" s="592" t="s">
        <v>6959</v>
      </c>
      <c r="B136" s="236" t="s">
        <v>5140</v>
      </c>
      <c r="C136" s="593">
        <v>820</v>
      </c>
      <c r="D136" s="594">
        <v>188792.82907672893</v>
      </c>
      <c r="E136" s="529" t="s">
        <v>6955</v>
      </c>
      <c r="F136" s="597">
        <v>581</v>
      </c>
      <c r="G136" s="597" t="s">
        <v>6958</v>
      </c>
      <c r="H136" s="597">
        <v>71.7</v>
      </c>
      <c r="I136" s="597">
        <v>581</v>
      </c>
      <c r="J136" s="583">
        <f t="shared" si="112"/>
        <v>263154.02439965802</v>
      </c>
      <c r="K136" s="583">
        <f t="shared" si="115"/>
        <v>36845.975600341975</v>
      </c>
      <c r="L136" s="583">
        <f t="shared" si="103"/>
        <v>300000</v>
      </c>
      <c r="M136" s="583">
        <f>L136*$O$31*1.00115/($O$50*0.9912)</f>
        <v>35117.226961499604</v>
      </c>
      <c r="N136" s="583">
        <f t="shared" si="116"/>
        <v>264882.7730385004</v>
      </c>
      <c r="O136" s="583">
        <f>N136*$O$50*0.9912/($O$55*1.003631981)</f>
        <v>160739.98991729261</v>
      </c>
      <c r="P136" s="444">
        <f>O136/D136</f>
        <v>0.85140940311861568</v>
      </c>
      <c r="Q136" s="444">
        <f>100*(O136-D136)/D136</f>
        <v>-14.859059688138432</v>
      </c>
      <c r="R136" s="529" t="s">
        <v>422</v>
      </c>
      <c r="T136" s="561"/>
      <c r="U136" s="372" t="s">
        <v>25</v>
      </c>
    </row>
    <row r="137" spans="1:23" ht="18.75">
      <c r="A137" s="592" t="s">
        <v>6953</v>
      </c>
      <c r="B137" s="236" t="s">
        <v>5140</v>
      </c>
      <c r="C137" s="593">
        <v>784</v>
      </c>
      <c r="D137" s="594">
        <v>759913.40569107642</v>
      </c>
      <c r="E137" s="494" t="s">
        <v>6945</v>
      </c>
      <c r="F137" s="591">
        <v>396</v>
      </c>
      <c r="G137" s="591" t="s">
        <v>6952</v>
      </c>
      <c r="H137" s="591">
        <v>36.299999999999997</v>
      </c>
      <c r="I137" s="591">
        <v>396</v>
      </c>
      <c r="J137" s="583">
        <f>C137*D137*0.9912/(F137*1.003631981)</f>
        <v>1485839.1057837363</v>
      </c>
      <c r="K137" s="583">
        <f t="shared" si="115"/>
        <v>149160.89421626349</v>
      </c>
      <c r="L137" s="583">
        <f t="shared" si="103"/>
        <v>1634999.9999999998</v>
      </c>
      <c r="M137" s="583">
        <f>L137*$O$33*1.00115/($O$51*0.9912)</f>
        <v>140214.28428662798</v>
      </c>
      <c r="N137" s="583">
        <f t="shared" ref="N137" si="117">L137-M137</f>
        <v>1494785.7157133718</v>
      </c>
      <c r="O137" s="583">
        <f>N137*$O$51*0.9912/($O$55*1.003631981)</f>
        <v>636763.38007582247</v>
      </c>
      <c r="P137" s="444">
        <f>O137/D137</f>
        <v>0.83794202774556992</v>
      </c>
      <c r="Q137" s="444">
        <f>100*(O137-D137)/D137</f>
        <v>-16.20579722544301</v>
      </c>
      <c r="R137" s="494" t="s">
        <v>422</v>
      </c>
      <c r="S137" s="561"/>
      <c r="T137" s="561"/>
      <c r="U137" s="372"/>
    </row>
    <row r="138" spans="1:23" ht="18.75">
      <c r="A138" s="598" t="s">
        <v>6922</v>
      </c>
      <c r="B138" s="599" t="s">
        <v>5154</v>
      </c>
      <c r="C138" s="600">
        <f>277.9/1.42</f>
        <v>195.70422535211267</v>
      </c>
      <c r="D138" s="601">
        <f>570690*1.42</f>
        <v>810379.79999999993</v>
      </c>
      <c r="E138" s="512" t="s">
        <v>6911</v>
      </c>
      <c r="F138" s="575">
        <v>1091.4000000000001</v>
      </c>
      <c r="G138" s="576" t="s">
        <v>6921</v>
      </c>
      <c r="H138" s="576">
        <v>139.19999999999999</v>
      </c>
      <c r="I138" s="576">
        <v>1091.4000000000001</v>
      </c>
      <c r="J138" s="577">
        <f>C138*D138*0.9912/(F138*1.00115)</f>
        <v>143868.92602479106</v>
      </c>
      <c r="K138" s="577">
        <f>J138*H138*0.99885/(I138*1.00115-H138*0.99885)</f>
        <v>20976.515658242461</v>
      </c>
      <c r="L138" s="577">
        <f t="shared" si="103"/>
        <v>164845.44168303351</v>
      </c>
      <c r="M138" s="577">
        <f>L138*$O$49*1.00115/($O$53*0.99885)</f>
        <v>25419.234264168252</v>
      </c>
      <c r="N138" s="577">
        <f>L138-M138</f>
        <v>139426.20741886526</v>
      </c>
      <c r="O138" s="577">
        <f>N138*$O$53*0.99885/($O$60*1.003631981)</f>
        <v>543344.73725120793</v>
      </c>
      <c r="P138" s="444">
        <f>O138/D138</f>
        <v>0.67048159054705947</v>
      </c>
      <c r="Q138" s="444">
        <f>100*(O138-D138)/D138</f>
        <v>-32.951840945294045</v>
      </c>
      <c r="R138" s="578" t="s">
        <v>422</v>
      </c>
      <c r="T138" s="561"/>
      <c r="U138" s="372"/>
    </row>
    <row r="139" spans="1:23" ht="18.75">
      <c r="A139" s="230" t="s">
        <v>6993</v>
      </c>
      <c r="B139" s="225" t="s">
        <v>4134</v>
      </c>
      <c r="C139" s="224">
        <v>2413</v>
      </c>
      <c r="D139" s="303">
        <v>1003.44</v>
      </c>
      <c r="E139" s="552" t="s">
        <v>6996</v>
      </c>
      <c r="F139" s="553">
        <v>11.1</v>
      </c>
      <c r="G139" s="553" t="s">
        <v>1046</v>
      </c>
      <c r="H139" s="553">
        <v>20</v>
      </c>
      <c r="I139" s="554">
        <f>C139*D139*0.9912/(H139)</f>
        <v>119999.66368319999</v>
      </c>
      <c r="J139" s="496">
        <f>I139*(F139+H139-$O$35)/($O$54*1.003631981)</f>
        <v>931.2772362382965</v>
      </c>
      <c r="K139" s="442">
        <f>100*(J139/D139-1)</f>
        <v>-7.1915374872143385</v>
      </c>
      <c r="L139" s="553">
        <f>(F139+H139)*I139</f>
        <v>3731989.5405475199</v>
      </c>
      <c r="M139" s="442"/>
      <c r="N139" s="388" t="s">
        <v>690</v>
      </c>
      <c r="O139" t="s">
        <v>25</v>
      </c>
      <c r="P139" t="s">
        <v>25</v>
      </c>
      <c r="Q139" t="s">
        <v>25</v>
      </c>
    </row>
    <row r="140" spans="1:23" ht="18.75">
      <c r="A140" s="230" t="s">
        <v>6993</v>
      </c>
      <c r="B140" s="225" t="s">
        <v>4134</v>
      </c>
      <c r="C140" s="224">
        <v>2413</v>
      </c>
      <c r="D140" s="303">
        <v>2491.88</v>
      </c>
      <c r="E140" s="373" t="s">
        <v>6997</v>
      </c>
      <c r="F140" s="226">
        <v>14</v>
      </c>
      <c r="G140" s="226" t="s">
        <v>1046</v>
      </c>
      <c r="H140" s="226">
        <v>20</v>
      </c>
      <c r="I140" s="376">
        <f>C140*D140*0.9912/(H140)</f>
        <v>297999.64316640003</v>
      </c>
      <c r="J140" s="496">
        <f>I140*(F140+H140-$O$34)/($O$54*1.003631981)</f>
        <v>2630.5313922240039</v>
      </c>
      <c r="K140" s="442">
        <f>100*(J140/D140-1)</f>
        <v>5.5641279766282414</v>
      </c>
      <c r="L140" s="553">
        <f>(F140+H140)*I140</f>
        <v>10131987.867657602</v>
      </c>
      <c r="M140" s="442"/>
      <c r="N140" s="207" t="s">
        <v>690</v>
      </c>
      <c r="O140" t="s">
        <v>25</v>
      </c>
      <c r="Q140" t="s">
        <v>25</v>
      </c>
    </row>
    <row r="141" spans="1:23" ht="18.75">
      <c r="A141" s="230" t="s">
        <v>7000</v>
      </c>
      <c r="B141" s="225" t="s">
        <v>4134</v>
      </c>
      <c r="C141" s="224">
        <v>2424.4</v>
      </c>
      <c r="D141" s="303">
        <v>832.27</v>
      </c>
      <c r="E141" s="373" t="s">
        <v>6997</v>
      </c>
      <c r="F141" s="226">
        <v>11</v>
      </c>
      <c r="G141" s="226" t="s">
        <v>1046</v>
      </c>
      <c r="H141" s="226">
        <v>20</v>
      </c>
      <c r="I141" s="376">
        <f>C141*D141*0.9912/(H141)</f>
        <v>99999.957029279991</v>
      </c>
      <c r="J141" s="496">
        <f>I141*(F141+H141-$O$34)/($O$54*1.003631981)</f>
        <v>772.38816619899603</v>
      </c>
      <c r="K141" s="445">
        <f>100*(J141/D141-1)</f>
        <v>-7.1950008772398322</v>
      </c>
      <c r="L141" s="553">
        <f t="shared" ref="L141" si="118">(F141+H141)*I141</f>
        <v>3099998.6679076799</v>
      </c>
      <c r="M141" s="442"/>
      <c r="N141" s="517" t="s">
        <v>690</v>
      </c>
      <c r="T141" s="372"/>
    </row>
    <row r="142" spans="1:23" ht="18.75">
      <c r="A142" s="230" t="s">
        <v>7003</v>
      </c>
      <c r="B142" s="225" t="s">
        <v>4134</v>
      </c>
      <c r="C142" s="224">
        <v>2424.4</v>
      </c>
      <c r="D142" s="303">
        <v>1248.4079999999999</v>
      </c>
      <c r="E142" s="373" t="s">
        <v>6997</v>
      </c>
      <c r="F142" s="226">
        <v>12.5</v>
      </c>
      <c r="G142" s="226" t="s">
        <v>1046</v>
      </c>
      <c r="H142" s="226">
        <v>20</v>
      </c>
      <c r="I142" s="376">
        <f>C142*D142*0.9912/(H142)</f>
        <v>150000.29600371199</v>
      </c>
      <c r="J142" s="496">
        <f>I142*(F142+H142-$O$34)/($O$54*1.003631981)</f>
        <v>1241.3411072662157</v>
      </c>
      <c r="K142" s="445">
        <f>100*(J142/D142-1)</f>
        <v>-0.56607236847122655</v>
      </c>
      <c r="L142" s="553">
        <f>(F142+H142)*I142</f>
        <v>4875009.6201206399</v>
      </c>
      <c r="M142" s="442"/>
      <c r="N142" s="517" t="s">
        <v>690</v>
      </c>
      <c r="Q142" t="s">
        <v>25</v>
      </c>
    </row>
    <row r="143" spans="1:23" ht="18.75">
      <c r="A143" s="225" t="s">
        <v>6779</v>
      </c>
      <c r="B143" s="225" t="s">
        <v>4134</v>
      </c>
      <c r="C143" s="224">
        <f>1306/(1+$P$3)</f>
        <v>1201.750679347826</v>
      </c>
      <c r="D143" s="303">
        <f>11600*(1+$P$3)</f>
        <v>12606.275378368402</v>
      </c>
      <c r="E143" s="251" t="s">
        <v>4542</v>
      </c>
      <c r="F143" s="338">
        <v>339</v>
      </c>
      <c r="G143" s="322">
        <f>C143*D143*0.9912/(F143*1.003631981)</f>
        <v>44135.522214811077</v>
      </c>
      <c r="H143" s="343">
        <f>C143/F143</f>
        <v>3.5449872547133512</v>
      </c>
      <c r="I143" s="344">
        <f>$O$54/$O$56</f>
        <v>3.8866571018651364</v>
      </c>
      <c r="J143" s="229">
        <f t="shared" ref="J143:J144" si="119">I143/H143</f>
        <v>1.0963811214546701</v>
      </c>
      <c r="K143" s="229">
        <f t="shared" ref="K143:K144" si="120">(1/J143-1.0256)*100</f>
        <v>-11.350841028600755</v>
      </c>
      <c r="L143" s="229"/>
      <c r="M143" s="404" t="s">
        <v>25</v>
      </c>
      <c r="N143" s="372"/>
      <c r="O143" s="561"/>
      <c r="P143" t="s">
        <v>25</v>
      </c>
    </row>
    <row r="144" spans="1:23" ht="18.75">
      <c r="A144" s="225" t="s">
        <v>6779</v>
      </c>
      <c r="B144" s="225" t="s">
        <v>4134</v>
      </c>
      <c r="C144" s="224">
        <f>1315/(1+$P$3)</f>
        <v>1210.032269021739</v>
      </c>
      <c r="D144" s="303">
        <f>529*(1+$P$3)</f>
        <v>574.88962716869696</v>
      </c>
      <c r="E144" s="251" t="s">
        <v>4542</v>
      </c>
      <c r="F144" s="338">
        <v>339</v>
      </c>
      <c r="G144" s="322">
        <f>C144*D144*0.9912/(F144*1.003631981)</f>
        <v>2026.60228625839</v>
      </c>
      <c r="H144" s="343">
        <f>C144/F144</f>
        <v>3.5694167227779912</v>
      </c>
      <c r="I144" s="344">
        <f>$O$54/$O$56</f>
        <v>3.8866571018651364</v>
      </c>
      <c r="J144" s="229">
        <f t="shared" si="119"/>
        <v>1.088877372334448</v>
      </c>
      <c r="K144" s="229">
        <f t="shared" si="120"/>
        <v>-10.722293991278708</v>
      </c>
      <c r="L144" s="229"/>
      <c r="M144" s="350" t="s">
        <v>25</v>
      </c>
      <c r="N144" s="36"/>
      <c r="O144" s="561"/>
      <c r="P144" t="s">
        <v>25</v>
      </c>
      <c r="R144" t="s">
        <v>25</v>
      </c>
    </row>
    <row r="145" spans="1:17" ht="21">
      <c r="A145" s="225" t="s">
        <v>6715</v>
      </c>
      <c r="B145" s="225" t="s">
        <v>4134</v>
      </c>
      <c r="C145" s="224">
        <f>1410/(1+$P$3)</f>
        <v>1297.4490489130435</v>
      </c>
      <c r="D145" s="303">
        <f>90337*(1+$P$3)</f>
        <v>98173.543004798819</v>
      </c>
      <c r="E145" s="312" t="s">
        <v>5154</v>
      </c>
      <c r="F145" s="312">
        <f>221.1/1.42</f>
        <v>155.70422535211267</v>
      </c>
      <c r="G145" s="312">
        <f>C145*D145*0.9912/(F145*1.003631981)</f>
        <v>807925.24765651859</v>
      </c>
      <c r="H145" s="312">
        <f>C145/F145</f>
        <v>8.3327799613592113</v>
      </c>
      <c r="I145" s="312">
        <f>$O$54/$O$60</f>
        <v>8.1596385542168672</v>
      </c>
      <c r="J145" s="28">
        <f>I145/H145</f>
        <v>0.97922165136422223</v>
      </c>
      <c r="K145" s="231">
        <f>(1/J145-1.0256)*100</f>
        <v>-0.43807503982067342</v>
      </c>
      <c r="L145" s="28"/>
      <c r="M145" s="350" t="s">
        <v>25</v>
      </c>
      <c r="N145" s="36"/>
      <c r="O145" s="561"/>
      <c r="Q145" t="s">
        <v>25</v>
      </c>
    </row>
    <row r="146" spans="1:17" ht="21">
      <c r="A146" s="225" t="s">
        <v>6837</v>
      </c>
      <c r="B146" s="225" t="s">
        <v>4134</v>
      </c>
      <c r="C146" s="224">
        <f>1893/(1+$P$3)</f>
        <v>1741.8943614130435</v>
      </c>
      <c r="D146" s="303">
        <f>1*(1+$P$3)</f>
        <v>1.0867478774455519</v>
      </c>
      <c r="E146" s="312" t="s">
        <v>5154</v>
      </c>
      <c r="F146" s="312">
        <f>239.9715/1.42</f>
        <v>168.99401408450706</v>
      </c>
      <c r="G146" s="312">
        <f>C146*D146*0.9912/(F146*1.003631981)</f>
        <v>11.062826307042506</v>
      </c>
      <c r="H146" s="312">
        <f>C146/F146</f>
        <v>10.307432312614296</v>
      </c>
      <c r="I146" s="312">
        <f>$O$54/$O$60</f>
        <v>8.1596385542168672</v>
      </c>
      <c r="J146" s="28">
        <f>I146/H146</f>
        <v>0.79162669292827215</v>
      </c>
      <c r="K146" s="231">
        <f>(1/J146-1.0256)*100</f>
        <v>23.762167877000607</v>
      </c>
      <c r="L146" s="28"/>
      <c r="M146" s="404" t="s">
        <v>25</v>
      </c>
      <c r="N146" s="36"/>
      <c r="O146" s="561"/>
    </row>
    <row r="147" spans="1:17" ht="21">
      <c r="A147" s="251" t="s">
        <v>6867</v>
      </c>
      <c r="B147" s="251" t="s">
        <v>4716</v>
      </c>
      <c r="C147" s="338">
        <v>15218</v>
      </c>
      <c r="D147" s="322">
        <v>6575</v>
      </c>
      <c r="E147" s="170" t="s">
        <v>4542</v>
      </c>
      <c r="F147" s="170">
        <f>483/(1+$R$38)</f>
        <v>483</v>
      </c>
      <c r="G147" s="170">
        <f>C147*D147*0.9912/(F147*1.003631981)</f>
        <v>204594.05393556695</v>
      </c>
      <c r="H147" s="170">
        <f>C147/F147</f>
        <v>31.507246376811594</v>
      </c>
      <c r="I147" s="170">
        <f>$O$62/$O$56</f>
        <v>31.133428981348636</v>
      </c>
      <c r="J147" s="361">
        <f t="shared" ref="J147" si="121">I147/H147</f>
        <v>0.98813551044758785</v>
      </c>
      <c r="K147" s="375">
        <f t="shared" ref="K147" si="122">(1/J147-1.0256)*100</f>
        <v>-1.3593054164162233</v>
      </c>
      <c r="L147" s="361"/>
      <c r="M147" s="350"/>
      <c r="N147" t="s">
        <v>25</v>
      </c>
      <c r="O147" t="s">
        <v>25</v>
      </c>
    </row>
    <row r="148" spans="1:17" ht="21">
      <c r="A148" s="251"/>
      <c r="B148" s="251"/>
      <c r="C148" s="338"/>
      <c r="D148" s="322"/>
      <c r="E148" s="170"/>
      <c r="F148" s="170"/>
      <c r="G148" s="170"/>
      <c r="H148" s="170"/>
      <c r="I148" s="170"/>
      <c r="J148" s="361"/>
      <c r="K148" s="375"/>
      <c r="L148" s="361"/>
      <c r="O148" t="s">
        <v>25</v>
      </c>
    </row>
    <row r="149" spans="1:17" ht="21">
      <c r="A149" s="225" t="s">
        <v>6793</v>
      </c>
      <c r="B149" s="225" t="s">
        <v>4134</v>
      </c>
      <c r="C149" s="224">
        <f>1314/(1+$P$3)</f>
        <v>1209.1120923913043</v>
      </c>
      <c r="D149" s="225">
        <f>1*(1+$P$3)</f>
        <v>1.0867478774455519</v>
      </c>
      <c r="E149" s="318" t="s">
        <v>4400</v>
      </c>
      <c r="F149" s="318">
        <v>785.87</v>
      </c>
      <c r="G149" s="318">
        <f>C149*D149*0.9912/(F149*1.003631981)</f>
        <v>1.6513208201489087</v>
      </c>
      <c r="H149" s="318">
        <f>C149/F149</f>
        <v>1.5385650201576651</v>
      </c>
      <c r="I149" s="318">
        <f>$O$54/$O$61</f>
        <v>2.2388429752066115</v>
      </c>
      <c r="J149" s="318">
        <f>I149/H149</f>
        <v>1.4551500559769552</v>
      </c>
      <c r="K149" s="319">
        <f>(1/J149-1.0256)*100</f>
        <v>-33.838564991112051</v>
      </c>
      <c r="L149" s="318"/>
      <c r="M149" s="356" t="s">
        <v>25</v>
      </c>
    </row>
    <row r="150" spans="1:17" ht="15.75">
      <c r="A150" s="225" t="s">
        <v>6823</v>
      </c>
      <c r="B150" s="225" t="s">
        <v>4134</v>
      </c>
      <c r="C150" s="224">
        <f>1860/(1+$P$3)</f>
        <v>1711.5285326086955</v>
      </c>
      <c r="D150" s="225">
        <f>151844*(1+$P$3)</f>
        <v>165016.14470284237</v>
      </c>
      <c r="E150" s="388" t="s">
        <v>5593</v>
      </c>
      <c r="F150" s="388">
        <v>1277</v>
      </c>
      <c r="G150" s="389">
        <f>C150*D150*0.99114/(F150*1.0037158)</f>
        <v>218395.62072681807</v>
      </c>
      <c r="H150" s="388">
        <f>C150/F150</f>
        <v>1.3402729307820638</v>
      </c>
      <c r="I150" s="388">
        <f>$O$54/$O$57</f>
        <v>1.2432308398347867</v>
      </c>
      <c r="J150" s="361">
        <f>I150/H150</f>
        <v>0.92759527651531992</v>
      </c>
      <c r="K150" s="361">
        <f>(1/J150-1.0256)*100</f>
        <v>5.2456373633856357</v>
      </c>
      <c r="L150" s="361"/>
      <c r="O150" t="s">
        <v>25</v>
      </c>
    </row>
    <row r="151" spans="1:17" ht="15.75">
      <c r="A151" s="225"/>
      <c r="B151" s="225"/>
      <c r="C151" s="224"/>
      <c r="D151" s="225"/>
      <c r="E151" s="388"/>
      <c r="F151" s="388"/>
      <c r="G151" s="389"/>
      <c r="H151" s="388"/>
      <c r="I151" s="388"/>
      <c r="J151" s="361"/>
      <c r="K151" s="361"/>
      <c r="L151" s="361"/>
      <c r="M151" t="s">
        <v>25</v>
      </c>
    </row>
    <row r="152" spans="1:17" ht="21">
      <c r="A152" s="227" t="s">
        <v>6832</v>
      </c>
      <c r="B152" s="227" t="s">
        <v>5140</v>
      </c>
      <c r="C152" s="226">
        <v>528</v>
      </c>
      <c r="D152" s="300">
        <v>1</v>
      </c>
      <c r="E152" s="336" t="s">
        <v>6831</v>
      </c>
      <c r="F152" s="336">
        <v>13559.5</v>
      </c>
      <c r="G152" s="339">
        <f>C152*D152*0.9912/(F152*1.00115)</f>
        <v>3.8552486057752494E-2</v>
      </c>
      <c r="H152" s="336">
        <f>C152/F152</f>
        <v>3.8939488919207933E-2</v>
      </c>
      <c r="I152" s="336">
        <f>$O$55/$O$58</f>
        <v>4.292576419213974E-2</v>
      </c>
      <c r="J152" s="336">
        <f>I152/H152</f>
        <v>1.102371021900225</v>
      </c>
      <c r="K152" s="337">
        <f>(1/J152-1.015)*100</f>
        <v>-10.786439852506424</v>
      </c>
      <c r="L152" s="336"/>
      <c r="O152" t="s">
        <v>25</v>
      </c>
      <c r="P152" t="s">
        <v>25</v>
      </c>
    </row>
    <row r="153" spans="1:17" ht="21">
      <c r="A153" s="227"/>
      <c r="B153" s="227"/>
      <c r="C153" s="226"/>
      <c r="D153" s="300"/>
      <c r="E153" s="336"/>
      <c r="F153" s="336"/>
      <c r="G153" s="339"/>
      <c r="H153" s="336"/>
      <c r="I153" s="336"/>
      <c r="J153" s="336"/>
      <c r="K153" s="337"/>
      <c r="L153" s="336"/>
      <c r="M153" t="s">
        <v>25</v>
      </c>
      <c r="O153" t="s">
        <v>25</v>
      </c>
    </row>
    <row r="154" spans="1:17" ht="21">
      <c r="A154" s="251"/>
      <c r="B154" s="251"/>
      <c r="C154" s="338"/>
      <c r="D154" s="322"/>
      <c r="E154" s="336"/>
      <c r="F154" s="336"/>
      <c r="G154" s="339"/>
      <c r="H154" s="336"/>
      <c r="I154" s="336"/>
      <c r="J154" s="336"/>
      <c r="K154" s="337"/>
      <c r="L154" s="336"/>
      <c r="M154" t="s">
        <v>25</v>
      </c>
      <c r="O154" t="s">
        <v>25</v>
      </c>
    </row>
    <row r="155" spans="1:17" ht="21">
      <c r="A155" s="336" t="s">
        <v>6846</v>
      </c>
      <c r="B155" s="336" t="s">
        <v>6849</v>
      </c>
      <c r="C155" s="351">
        <v>8724.2999999999993</v>
      </c>
      <c r="D155" s="339">
        <v>71134</v>
      </c>
      <c r="E155" s="303" t="s">
        <v>4134</v>
      </c>
      <c r="F155" s="303">
        <f>1888.8/(1+$P$3)</f>
        <v>1738.0296195652172</v>
      </c>
      <c r="G155" s="303">
        <f>C155*D155*0.99885/(F155*1.003631981)</f>
        <v>355366.45540673251</v>
      </c>
      <c r="H155" s="225">
        <f>C155/F155</f>
        <v>5.0196497814476011</v>
      </c>
      <c r="I155" s="225">
        <f>$O$59/$O$54</f>
        <v>5.4023624953857512</v>
      </c>
      <c r="J155" s="28">
        <f>I155/H155</f>
        <v>1.0762429114781351</v>
      </c>
      <c r="K155" s="231">
        <f t="shared" ref="K155" si="123">(1/J155-1.015)*100</f>
        <v>-8.5841731606316802</v>
      </c>
      <c r="L155" s="229"/>
      <c r="N155" t="s">
        <v>25</v>
      </c>
      <c r="O155" t="s">
        <v>25</v>
      </c>
    </row>
    <row r="156" spans="1:17" ht="21">
      <c r="A156" s="336" t="s">
        <v>6846</v>
      </c>
      <c r="B156" s="336" t="s">
        <v>6831</v>
      </c>
      <c r="C156" s="351">
        <v>14116.9</v>
      </c>
      <c r="D156" s="339">
        <v>22382</v>
      </c>
      <c r="E156" s="303" t="s">
        <v>4134</v>
      </c>
      <c r="F156" s="303">
        <f>1889.5/(1+$P$3)</f>
        <v>1738.6737432065217</v>
      </c>
      <c r="G156" s="303">
        <f>C156*D156*0.99885/(F156*1.003631981)</f>
        <v>180861.4116571543</v>
      </c>
      <c r="H156" s="225">
        <f>C156/F156</f>
        <v>8.1193496221810584</v>
      </c>
      <c r="I156" s="225">
        <f>$O$58/$O$54</f>
        <v>8.4533038021410114</v>
      </c>
      <c r="J156" s="28">
        <f>I156/H156</f>
        <v>1.0411306564564766</v>
      </c>
      <c r="K156" s="231">
        <f t="shared" ref="K156" si="124">(1/J156-1.015)*100</f>
        <v>-5.4505758668624837</v>
      </c>
      <c r="L156" s="229"/>
      <c r="M156" t="s">
        <v>25</v>
      </c>
      <c r="N156" t="s">
        <v>25</v>
      </c>
      <c r="O156" t="s">
        <v>25</v>
      </c>
    </row>
    <row r="157" spans="1:17" ht="21">
      <c r="A157" s="336" t="s">
        <v>6848</v>
      </c>
      <c r="B157" s="336" t="s">
        <v>6831</v>
      </c>
      <c r="C157" s="351">
        <v>14385</v>
      </c>
      <c r="D157" s="339">
        <v>15000</v>
      </c>
      <c r="E157" s="303" t="s">
        <v>4134</v>
      </c>
      <c r="F157" s="303">
        <f>1877.4/(1+$P$3)</f>
        <v>1727.5396059782609</v>
      </c>
      <c r="G157" s="303">
        <f>C157*D157*0.99885/(F157*1.003631981)</f>
        <v>124307.94717451606</v>
      </c>
      <c r="H157" s="225">
        <f>C157/F157</f>
        <v>8.326871320472069</v>
      </c>
      <c r="I157" s="225">
        <f>$O$58/$O$54</f>
        <v>8.4533038021410114</v>
      </c>
      <c r="J157" s="28">
        <f t="shared" ref="J157:J158" si="125">I157/H157</f>
        <v>1.0151836718502063</v>
      </c>
      <c r="K157" s="231">
        <f t="shared" ref="K157" si="126">(1/J157-1.015)*100</f>
        <v>-2.9956576106600963</v>
      </c>
      <c r="L157" s="229"/>
    </row>
    <row r="158" spans="1:17" ht="21">
      <c r="A158" s="336" t="s">
        <v>6850</v>
      </c>
      <c r="B158" s="336" t="s">
        <v>6831</v>
      </c>
      <c r="C158" s="351">
        <v>14647</v>
      </c>
      <c r="D158" s="339">
        <v>6000</v>
      </c>
      <c r="E158" s="303" t="s">
        <v>4075</v>
      </c>
      <c r="F158" s="303">
        <f>1880/(1+$P$3)</f>
        <v>1729.9320652173913</v>
      </c>
      <c r="G158" s="303">
        <f>C158*D158*0.99885/(F158*1.003631981)</f>
        <v>50558.789284827835</v>
      </c>
      <c r="H158" s="225">
        <f>C158/F158</f>
        <v>8.466806468587766</v>
      </c>
      <c r="I158" s="225">
        <f>$O$58/$O$54</f>
        <v>8.4533038021410114</v>
      </c>
      <c r="J158" s="28">
        <f t="shared" si="125"/>
        <v>0.99840522320938241</v>
      </c>
      <c r="K158" s="231">
        <f>(1/J158-1.015)*100</f>
        <v>-1.3402675833875</v>
      </c>
      <c r="L158" s="229"/>
      <c r="M158" t="s">
        <v>25</v>
      </c>
      <c r="N158" t="s">
        <v>25</v>
      </c>
    </row>
    <row r="159" spans="1:17" ht="21">
      <c r="A159" s="336" t="s">
        <v>6851</v>
      </c>
      <c r="B159" s="336" t="s">
        <v>6831</v>
      </c>
      <c r="C159" s="351">
        <v>14870</v>
      </c>
      <c r="D159" s="339">
        <v>3642</v>
      </c>
      <c r="E159" s="303" t="s">
        <v>4134</v>
      </c>
      <c r="F159" s="303">
        <f>1870/(1+$P$3)</f>
        <v>1720.7302989130435</v>
      </c>
      <c r="G159" s="303">
        <f>C159*D159*0.99885/(F159*1.003631981)</f>
        <v>31323.038641873929</v>
      </c>
      <c r="H159" s="225">
        <f>C159/F159</f>
        <v>8.6416796457836131</v>
      </c>
      <c r="I159" s="225">
        <f>$O$58/$O$54</f>
        <v>8.4533038021410114</v>
      </c>
      <c r="J159" s="28">
        <f t="shared" ref="J159" si="127">I159/H159</f>
        <v>0.97820147802695823</v>
      </c>
      <c r="K159" s="231">
        <f>(1/J159-1.015)*100</f>
        <v>0.7284286481563873</v>
      </c>
      <c r="L159" s="229"/>
      <c r="N159" t="s">
        <v>25</v>
      </c>
    </row>
    <row r="160" spans="1:17" ht="21">
      <c r="A160" s="336" t="s">
        <v>6851</v>
      </c>
      <c r="B160" s="336" t="s">
        <v>6831</v>
      </c>
      <c r="C160" s="351">
        <v>14870</v>
      </c>
      <c r="D160" s="339">
        <v>3721</v>
      </c>
      <c r="E160" s="352" t="s">
        <v>4134</v>
      </c>
      <c r="F160" s="303">
        <f>1870/(1+$P$3)</f>
        <v>1720.7302989130435</v>
      </c>
      <c r="G160" s="303">
        <f>C160*D160*0.99885/(F160*1.003631981)</f>
        <v>32002.47852455049</v>
      </c>
      <c r="H160" s="225">
        <f>C160/F160</f>
        <v>8.6416796457836131</v>
      </c>
      <c r="I160" s="225">
        <f>$O$58/$O$54</f>
        <v>8.4533038021410114</v>
      </c>
      <c r="J160" s="28">
        <f t="shared" ref="J160" si="128">I160/H160</f>
        <v>0.97820147802695823</v>
      </c>
      <c r="K160" s="231">
        <f t="shared" ref="K160" si="129">(1/J160-1.015)*100</f>
        <v>0.7284286481563873</v>
      </c>
      <c r="L160" s="229"/>
      <c r="N160" t="s">
        <v>25</v>
      </c>
      <c r="O160" t="s">
        <v>25</v>
      </c>
    </row>
    <row r="161" spans="1:18" ht="21">
      <c r="A161" s="336" t="s">
        <v>6851</v>
      </c>
      <c r="B161" s="336" t="s">
        <v>6831</v>
      </c>
      <c r="C161" s="351">
        <v>15600</v>
      </c>
      <c r="D161" s="339">
        <v>35181</v>
      </c>
      <c r="E161" s="352" t="s">
        <v>4134</v>
      </c>
      <c r="F161" s="303">
        <f>1859.45/(1+$P$3)</f>
        <v>1711.0224354619565</v>
      </c>
      <c r="G161" s="303">
        <f>C161*D161*0.99885/(F161*1.003631981)</f>
        <v>319229.3813106491</v>
      </c>
      <c r="H161" s="225">
        <f>C161/F161</f>
        <v>9.1173556095354051</v>
      </c>
      <c r="I161" s="225">
        <f>$O$58/$O$54</f>
        <v>8.4533038021410114</v>
      </c>
      <c r="J161" s="28">
        <f>I161/H161</f>
        <v>0.92716618328455969</v>
      </c>
      <c r="K161" s="231">
        <f>(1/J161-1.015)*100</f>
        <v>6.3555298962070461</v>
      </c>
      <c r="L161" s="229"/>
      <c r="N161" t="s">
        <v>25</v>
      </c>
      <c r="O161" t="s">
        <v>25</v>
      </c>
    </row>
    <row r="162" spans="1:18" ht="21">
      <c r="A162" s="336" t="s">
        <v>6851</v>
      </c>
      <c r="B162" s="336" t="s">
        <v>6831</v>
      </c>
      <c r="C162" s="351">
        <v>14870</v>
      </c>
      <c r="D162" s="339">
        <v>2279</v>
      </c>
      <c r="E162" s="322" t="s">
        <v>4542</v>
      </c>
      <c r="F162" s="322">
        <v>435</v>
      </c>
      <c r="G162" s="322">
        <f>C162*D162*0.99885/(F162*1.003631981)</f>
        <v>77533.93376708201</v>
      </c>
      <c r="H162" s="251">
        <f>C162/F162</f>
        <v>34.183908045977013</v>
      </c>
      <c r="I162" s="251">
        <f>$O$58/$O$56</f>
        <v>32.855093256814918</v>
      </c>
      <c r="J162" s="28">
        <f>I162/H162</f>
        <v>0.96112747590548009</v>
      </c>
      <c r="K162" s="231">
        <f>(1/J162-1.015)*100</f>
        <v>2.544471214174604</v>
      </c>
      <c r="L162" s="229"/>
      <c r="N162" t="s">
        <v>25</v>
      </c>
    </row>
    <row r="163" spans="1:18" ht="21">
      <c r="A163" s="336" t="s">
        <v>6851</v>
      </c>
      <c r="B163" s="336" t="s">
        <v>6831</v>
      </c>
      <c r="C163" s="351">
        <v>14870</v>
      </c>
      <c r="D163" s="339">
        <v>2279</v>
      </c>
      <c r="E163" s="355" t="s">
        <v>4542</v>
      </c>
      <c r="F163" s="322">
        <v>435</v>
      </c>
      <c r="G163" s="322">
        <f>C163*D163*0.99885/(F163*1.003631981)</f>
        <v>77533.93376708201</v>
      </c>
      <c r="H163" s="251">
        <f>C163/F163</f>
        <v>34.183908045977013</v>
      </c>
      <c r="I163" s="251">
        <f>$O$58/$O$56</f>
        <v>32.855093256814918</v>
      </c>
      <c r="J163" s="28">
        <f>I163/H163</f>
        <v>0.96112747590548009</v>
      </c>
      <c r="K163" s="231">
        <f t="shared" ref="K163" si="130">(1/J163-1.015)*100</f>
        <v>2.544471214174604</v>
      </c>
      <c r="L163" s="229"/>
      <c r="N163" t="s">
        <v>25</v>
      </c>
    </row>
    <row r="164" spans="1:18" ht="21">
      <c r="A164" s="336" t="s">
        <v>6851</v>
      </c>
      <c r="B164" s="336" t="s">
        <v>6831</v>
      </c>
      <c r="C164" s="351">
        <v>15600</v>
      </c>
      <c r="D164" s="339">
        <v>40264</v>
      </c>
      <c r="E164" s="355" t="s">
        <v>4542</v>
      </c>
      <c r="F164" s="322">
        <v>438</v>
      </c>
      <c r="G164" s="322">
        <f>C164*D164*0.99885/(F164*1.003631981)</f>
        <v>1427227.4417065773</v>
      </c>
      <c r="H164" s="251">
        <f>C164/F164</f>
        <v>35.61643835616438</v>
      </c>
      <c r="I164" s="251">
        <f>$O$58/$O$56</f>
        <v>32.855093256814918</v>
      </c>
      <c r="J164" s="28">
        <f>I164/H164</f>
        <v>0.92246992605672662</v>
      </c>
      <c r="K164" s="231">
        <f>(1/J164-1.015)*100</f>
        <v>6.9046180534785062</v>
      </c>
      <c r="L164" s="229"/>
      <c r="N164" t="s">
        <v>25</v>
      </c>
      <c r="O164" t="s">
        <v>25</v>
      </c>
    </row>
    <row r="165" spans="1:18" ht="21">
      <c r="A165" s="336" t="s">
        <v>6853</v>
      </c>
      <c r="B165" s="336" t="s">
        <v>6831</v>
      </c>
      <c r="C165" s="351">
        <v>16212</v>
      </c>
      <c r="D165" s="339">
        <v>224</v>
      </c>
      <c r="E165" s="355" t="s">
        <v>4542</v>
      </c>
      <c r="F165" s="322">
        <v>432</v>
      </c>
      <c r="G165" s="322">
        <f>C165*D165*0.99885/(F165*1.003631981)</f>
        <v>8366.1692987308925</v>
      </c>
      <c r="H165" s="251">
        <f>C165/F165</f>
        <v>37.527777777777779</v>
      </c>
      <c r="I165" s="251">
        <f>$O$58/$O$56</f>
        <v>32.855093256814918</v>
      </c>
      <c r="J165" s="28">
        <f>I165/H165</f>
        <v>0.87548731106242561</v>
      </c>
      <c r="K165" s="231">
        <f>(1/J165-1.015)*100</f>
        <v>12.722100921882596</v>
      </c>
      <c r="L165" s="229"/>
      <c r="P165" t="s">
        <v>25</v>
      </c>
    </row>
    <row r="166" spans="1:18" ht="21">
      <c r="A166" s="336" t="s">
        <v>6853</v>
      </c>
      <c r="B166" s="336" t="s">
        <v>6831</v>
      </c>
      <c r="C166" s="351">
        <v>16756</v>
      </c>
      <c r="D166" s="339">
        <v>716</v>
      </c>
      <c r="E166" s="355" t="s">
        <v>4542</v>
      </c>
      <c r="F166" s="322">
        <v>435</v>
      </c>
      <c r="G166" s="322">
        <f>C166*D166*0.99885/(F166*1.003631981)</f>
        <v>27448.581090175932</v>
      </c>
      <c r="H166" s="251">
        <f>C166/F166</f>
        <v>38.51954022988506</v>
      </c>
      <c r="I166" s="251">
        <f>$O$58/$O$56</f>
        <v>32.855093256814918</v>
      </c>
      <c r="J166" s="28">
        <f t="shared" ref="J166" si="131">I166/H166</f>
        <v>0.85294614267811464</v>
      </c>
      <c r="K166" s="231">
        <f t="shared" ref="K166" si="132">(1/J166-1.015)*100</f>
        <v>15.740696682226595</v>
      </c>
      <c r="L166" s="229"/>
      <c r="N166" t="s">
        <v>25</v>
      </c>
      <c r="O166" t="s">
        <v>25</v>
      </c>
    </row>
    <row r="167" spans="1:18" ht="21">
      <c r="A167" s="336" t="s">
        <v>6851</v>
      </c>
      <c r="B167" s="336" t="s">
        <v>6831</v>
      </c>
      <c r="C167" s="351">
        <v>15800</v>
      </c>
      <c r="D167" s="339">
        <v>97579</v>
      </c>
      <c r="E167" s="354" t="s">
        <v>5140</v>
      </c>
      <c r="F167" s="300">
        <v>564.09649999999999</v>
      </c>
      <c r="G167" s="300">
        <f>C167*D167*0.99885/(F167*1.003631981)</f>
        <v>2720105.991936069</v>
      </c>
      <c r="H167" s="227">
        <f>C167/F167</f>
        <v>28.009392010055016</v>
      </c>
      <c r="I167" s="227">
        <f>$O$58/$O$55</f>
        <v>23.296032553407937</v>
      </c>
      <c r="J167" s="28">
        <f t="shared" ref="J167:J176" si="133">I167/H167</f>
        <v>0.83172217894072664</v>
      </c>
      <c r="K167" s="231">
        <f t="shared" ref="K167:K171" si="134">(1/J167-1.015)*100</f>
        <v>18.73245565888244</v>
      </c>
      <c r="L167" s="229"/>
      <c r="O167" t="s">
        <v>25</v>
      </c>
    </row>
    <row r="168" spans="1:18" ht="21">
      <c r="A168" s="336" t="s">
        <v>6853</v>
      </c>
      <c r="B168" s="336" t="s">
        <v>6831</v>
      </c>
      <c r="C168" s="351">
        <v>16212</v>
      </c>
      <c r="D168" s="339">
        <v>12020</v>
      </c>
      <c r="E168" s="354" t="s">
        <v>5140</v>
      </c>
      <c r="F168" s="300">
        <v>568.19000000000005</v>
      </c>
      <c r="G168" s="300">
        <f>C168*D168*0.99885/(F168*1.003631981)</f>
        <v>341329.05544801702</v>
      </c>
      <c r="H168" s="227">
        <f>C168/F168</f>
        <v>28.53270912898854</v>
      </c>
      <c r="I168" s="227">
        <f>$O$58/$O$55</f>
        <v>23.296032553407937</v>
      </c>
      <c r="J168" s="28">
        <f t="shared" si="133"/>
        <v>0.81646760032820487</v>
      </c>
      <c r="K168" s="231">
        <f t="shared" si="134"/>
        <v>20.978834383387479</v>
      </c>
      <c r="L168" s="229"/>
      <c r="O168" t="s">
        <v>25</v>
      </c>
    </row>
    <row r="169" spans="1:18" ht="21">
      <c r="A169" s="336" t="s">
        <v>6855</v>
      </c>
      <c r="B169" s="336" t="s">
        <v>6831</v>
      </c>
      <c r="C169" s="351">
        <v>16235</v>
      </c>
      <c r="D169" s="339">
        <v>6214</v>
      </c>
      <c r="E169" s="354" t="s">
        <v>5140</v>
      </c>
      <c r="F169" s="376">
        <v>556</v>
      </c>
      <c r="G169" s="376">
        <f>C169*D169*0.99885/(F169*1.003631981)</f>
        <v>180582.03069431783</v>
      </c>
      <c r="H169" s="373">
        <f>C169/F169</f>
        <v>29.199640287769785</v>
      </c>
      <c r="I169" s="373">
        <f>$O$58/$O$55</f>
        <v>23.296032553407937</v>
      </c>
      <c r="J169" s="361">
        <f t="shared" si="133"/>
        <v>0.79781916228486682</v>
      </c>
      <c r="K169" s="375">
        <f t="shared" si="134"/>
        <v>23.841687348810915</v>
      </c>
      <c r="L169" s="374"/>
    </row>
    <row r="170" spans="1:18" ht="21">
      <c r="A170" s="336" t="s">
        <v>6853</v>
      </c>
      <c r="B170" s="336" t="s">
        <v>6831</v>
      </c>
      <c r="C170" s="351">
        <v>16756</v>
      </c>
      <c r="D170" s="339">
        <v>31581</v>
      </c>
      <c r="E170" s="354" t="s">
        <v>5140</v>
      </c>
      <c r="F170" s="300">
        <v>560</v>
      </c>
      <c r="G170" s="300">
        <f>C170*D170*0.99885/(F170*1.003631981)</f>
        <v>940446.26182873116</v>
      </c>
      <c r="H170" s="227">
        <f>C170/F170</f>
        <v>29.921428571428571</v>
      </c>
      <c r="I170" s="227">
        <f>$O$58/$O$55</f>
        <v>23.296032553407937</v>
      </c>
      <c r="J170" s="28">
        <f t="shared" si="133"/>
        <v>0.77857353962213205</v>
      </c>
      <c r="K170" s="231">
        <f t="shared" si="134"/>
        <v>26.940018714909542</v>
      </c>
      <c r="L170" s="229"/>
      <c r="N170" t="s">
        <v>25</v>
      </c>
      <c r="O170" t="s">
        <v>25</v>
      </c>
    </row>
    <row r="171" spans="1:18" ht="21">
      <c r="A171" s="336" t="s">
        <v>6855</v>
      </c>
      <c r="B171" s="336" t="s">
        <v>6831</v>
      </c>
      <c r="C171" s="351">
        <v>17050</v>
      </c>
      <c r="D171" s="339">
        <v>10193</v>
      </c>
      <c r="E171" s="354" t="s">
        <v>5140</v>
      </c>
      <c r="F171" s="300">
        <v>560</v>
      </c>
      <c r="G171" s="300">
        <f>C171*D171*0.99885/(F171*1.003631981)</f>
        <v>308861.7748174154</v>
      </c>
      <c r="H171" s="227">
        <f>C171/F171</f>
        <v>30.446428571428573</v>
      </c>
      <c r="I171" s="227">
        <f>$O$58/$O$55</f>
        <v>23.296032553407937</v>
      </c>
      <c r="J171" s="28">
        <f t="shared" si="133"/>
        <v>0.76514828327908757</v>
      </c>
      <c r="K171" s="231">
        <f t="shared" si="134"/>
        <v>29.193621334996898</v>
      </c>
      <c r="L171" s="229"/>
      <c r="N171" t="s">
        <v>25</v>
      </c>
      <c r="O171" t="s">
        <v>25</v>
      </c>
    </row>
    <row r="172" spans="1:18" ht="21">
      <c r="A172" s="336" t="s">
        <v>6839</v>
      </c>
      <c r="B172" s="336" t="s">
        <v>6831</v>
      </c>
      <c r="C172" s="351">
        <v>14976</v>
      </c>
      <c r="D172" s="339">
        <v>584</v>
      </c>
      <c r="E172" s="354" t="s">
        <v>5140</v>
      </c>
      <c r="F172" s="376">
        <v>543</v>
      </c>
      <c r="G172" s="376">
        <f>C172*D172*0.99885/(F172*1.003631981)</f>
        <v>16030.040924111199</v>
      </c>
      <c r="H172" s="373">
        <f>C172/F172</f>
        <v>27.58011049723757</v>
      </c>
      <c r="I172" s="373">
        <f>$O$58/$O$55</f>
        <v>23.296032553407937</v>
      </c>
      <c r="J172" s="361">
        <f t="shared" ref="J172" si="135">I172/H172</f>
        <v>0.84466784698854902</v>
      </c>
      <c r="K172" s="375">
        <f t="shared" ref="K172" si="136">(1/J172-1.015)*100</f>
        <v>16.889731959757782</v>
      </c>
      <c r="L172" s="374"/>
      <c r="N172" t="s">
        <v>25</v>
      </c>
    </row>
    <row r="173" spans="1:18" ht="21">
      <c r="A173" s="336" t="s">
        <v>6839</v>
      </c>
      <c r="B173" s="336" t="s">
        <v>6831</v>
      </c>
      <c r="C173" s="351">
        <v>14969</v>
      </c>
      <c r="D173" s="339">
        <v>43109</v>
      </c>
      <c r="E173" s="354" t="s">
        <v>5140</v>
      </c>
      <c r="F173" s="376">
        <v>541</v>
      </c>
      <c r="G173" s="376">
        <f>C173*D173*0.99885/(F173*1.003631981)</f>
        <v>1187105.3276976866</v>
      </c>
      <c r="H173" s="373">
        <f>C173/F173</f>
        <v>27.669131238447321</v>
      </c>
      <c r="I173" s="373">
        <f>$O$58/$O$55</f>
        <v>23.296032553407937</v>
      </c>
      <c r="J173" s="361">
        <f t="shared" ref="J173" si="137">I173/H173</f>
        <v>0.8419502713203082</v>
      </c>
      <c r="K173" s="375">
        <f t="shared" ref="K173" si="138">(1/J173-1.015)*100</f>
        <v>17.271860294295706</v>
      </c>
      <c r="L173" s="374"/>
      <c r="N173" t="s">
        <v>25</v>
      </c>
    </row>
    <row r="174" spans="1:18" ht="21">
      <c r="A174" s="336" t="s">
        <v>6861</v>
      </c>
      <c r="B174" s="336" t="s">
        <v>6831</v>
      </c>
      <c r="C174" s="351">
        <v>14870</v>
      </c>
      <c r="D174" s="339">
        <v>43136</v>
      </c>
      <c r="E174" s="354" t="s">
        <v>5140</v>
      </c>
      <c r="F174" s="376">
        <v>541.11710000000005</v>
      </c>
      <c r="G174" s="376">
        <f>C174*D174*0.99885/(F174*1.003631981)</f>
        <v>1179737.4412215259</v>
      </c>
      <c r="H174" s="373">
        <f>C174/F174</f>
        <v>27.480188668959084</v>
      </c>
      <c r="I174" s="373">
        <f>$O$58/$O$55</f>
        <v>23.296032553407937</v>
      </c>
      <c r="J174" s="361">
        <f t="shared" ref="J174:J175" si="139">I174/H174</f>
        <v>0.84773917799634824</v>
      </c>
      <c r="K174" s="375">
        <f t="shared" ref="K174:K175" si="140">(1/J174-1.015)*100</f>
        <v>16.460809875924799</v>
      </c>
      <c r="L174" s="374"/>
      <c r="P174" t="s">
        <v>25</v>
      </c>
    </row>
    <row r="175" spans="1:18" ht="21">
      <c r="A175" s="336" t="s">
        <v>6861</v>
      </c>
      <c r="B175" s="336" t="s">
        <v>6831</v>
      </c>
      <c r="C175" s="351">
        <v>14920</v>
      </c>
      <c r="D175" s="339">
        <v>109651</v>
      </c>
      <c r="E175" s="354" t="s">
        <v>5140</v>
      </c>
      <c r="F175" s="376">
        <v>541.15419999999995</v>
      </c>
      <c r="G175" s="376">
        <f>C175*D175*0.99885/(F175*1.003631981)</f>
        <v>3008750.4525413048</v>
      </c>
      <c r="H175" s="373">
        <f>C175/F175</f>
        <v>27.570699811624859</v>
      </c>
      <c r="I175" s="373">
        <f>$O$58/$O$55</f>
        <v>23.296032553407937</v>
      </c>
      <c r="J175" s="361">
        <f t="shared" si="139"/>
        <v>0.84495615681055147</v>
      </c>
      <c r="K175" s="375">
        <f t="shared" si="140"/>
        <v>16.849335872608016</v>
      </c>
      <c r="L175" s="374"/>
      <c r="P175" t="s">
        <v>25</v>
      </c>
      <c r="R175" t="s">
        <v>25</v>
      </c>
    </row>
    <row r="176" spans="1:18" ht="21">
      <c r="A176" s="336" t="s">
        <v>6851</v>
      </c>
      <c r="B176" s="336" t="s">
        <v>6831</v>
      </c>
      <c r="C176" s="351">
        <v>15990</v>
      </c>
      <c r="D176" s="339">
        <v>1</v>
      </c>
      <c r="E176" s="353" t="s">
        <v>6852</v>
      </c>
      <c r="F176" s="339">
        <v>10912</v>
      </c>
      <c r="G176" s="339">
        <f>C176*D176*0.99885/(F176*1.00115)</f>
        <v>1.4619927827133694</v>
      </c>
      <c r="H176" s="336">
        <f>C176/F176</f>
        <v>1.4653592375366569</v>
      </c>
      <c r="I176" s="336">
        <f>$O$58/$O$63</f>
        <v>1.4774193548387098</v>
      </c>
      <c r="J176" s="28">
        <f t="shared" si="133"/>
        <v>1.0082301438399</v>
      </c>
      <c r="K176" s="231">
        <f>(1/J176-1.0046)*100</f>
        <v>-1.2762961492655767</v>
      </c>
      <c r="L176" s="229"/>
      <c r="N176" t="s">
        <v>25</v>
      </c>
      <c r="O176" t="s">
        <v>5358</v>
      </c>
    </row>
    <row r="177" spans="1:20" ht="21">
      <c r="A177" s="336"/>
      <c r="B177" s="336"/>
      <c r="C177" s="351"/>
      <c r="D177" s="339"/>
      <c r="E177" s="352"/>
      <c r="F177" s="303"/>
      <c r="G177" s="303"/>
      <c r="H177" s="225"/>
      <c r="I177" s="225"/>
      <c r="J177" s="28"/>
      <c r="K177" s="231"/>
      <c r="L177" s="229"/>
      <c r="O177" t="s">
        <v>5359</v>
      </c>
    </row>
    <row r="178" spans="1:20" ht="21">
      <c r="A178" s="336"/>
      <c r="B178" s="336"/>
      <c r="C178" s="351"/>
      <c r="D178" s="339"/>
      <c r="E178" s="345"/>
      <c r="F178" s="345"/>
      <c r="G178" s="335"/>
      <c r="H178" s="345"/>
      <c r="I178" s="345"/>
      <c r="J178" s="345"/>
      <c r="K178" s="346"/>
      <c r="L178" s="345"/>
      <c r="N178" t="s">
        <v>25</v>
      </c>
      <c r="O178" t="s">
        <v>5360</v>
      </c>
    </row>
    <row r="179" spans="1:20" ht="21">
      <c r="A179" s="225" t="s">
        <v>6793</v>
      </c>
      <c r="B179" s="225" t="s">
        <v>4134</v>
      </c>
      <c r="C179" s="224">
        <f>1314/(1+$P$3)</f>
        <v>1209.1120923913043</v>
      </c>
      <c r="D179" s="225">
        <f>1*(1+$P$3)</f>
        <v>1.0867478774455519</v>
      </c>
      <c r="E179" s="318" t="s">
        <v>4400</v>
      </c>
      <c r="F179" s="318">
        <v>785.87</v>
      </c>
      <c r="G179" s="318">
        <f>C179*D179*0.9912/(F179*1.003631981)</f>
        <v>1.6513208201489087</v>
      </c>
      <c r="H179" s="318">
        <f>C179/F179</f>
        <v>1.5385650201576651</v>
      </c>
      <c r="I179" s="318">
        <f>$O$54/$O$61</f>
        <v>2.2388429752066115</v>
      </c>
      <c r="J179" s="318">
        <f>I179/H179</f>
        <v>1.4551500559769552</v>
      </c>
      <c r="K179" s="319">
        <f>(1/J179-1.0256)*100</f>
        <v>-33.838564991112051</v>
      </c>
      <c r="L179" s="318"/>
      <c r="O179" t="s">
        <v>5361</v>
      </c>
    </row>
    <row r="180" spans="1:20" ht="21">
      <c r="A180" s="225"/>
      <c r="B180" s="225"/>
      <c r="C180" s="224"/>
      <c r="D180" s="225"/>
      <c r="E180" s="318"/>
      <c r="F180" s="318"/>
      <c r="G180" s="318"/>
      <c r="H180" s="318"/>
      <c r="I180" s="318"/>
      <c r="J180" s="318"/>
      <c r="K180" s="319"/>
      <c r="L180" s="318"/>
      <c r="O180" t="s">
        <v>5362</v>
      </c>
    </row>
    <row r="181" spans="1:20">
      <c r="A181" s="308" t="s">
        <v>5282</v>
      </c>
      <c r="B181" s="28"/>
      <c r="C181" s="1"/>
      <c r="D181" s="28"/>
      <c r="E181" s="28"/>
      <c r="F181" s="1"/>
      <c r="G181" s="28"/>
      <c r="H181" s="28"/>
      <c r="I181" s="28"/>
      <c r="J181" s="28"/>
      <c r="K181" s="28"/>
      <c r="L181" s="28"/>
      <c r="O181" t="s">
        <v>5363</v>
      </c>
    </row>
    <row r="182" spans="1:20" ht="15.75">
      <c r="A182" s="230" t="s">
        <v>6702</v>
      </c>
      <c r="B182" s="225" t="s">
        <v>4134</v>
      </c>
      <c r="C182" s="224">
        <f>1451/(1+$P$3)</f>
        <v>1335.1762907608695</v>
      </c>
      <c r="D182" s="303">
        <f>17691.1074982453*(1+$P$3)</f>
        <v>19225.773523379168</v>
      </c>
      <c r="E182" s="227" t="s">
        <v>5140</v>
      </c>
      <c r="F182" s="226">
        <v>486.84610260918487</v>
      </c>
      <c r="G182" s="300">
        <f>C182*D182*0.9912/(F182*1.003631981)</f>
        <v>52073.592214102442</v>
      </c>
      <c r="H182" s="227">
        <f>C182/F182</f>
        <v>2.7425017548773121</v>
      </c>
      <c r="I182" s="227">
        <f>$O$54/$O$55</f>
        <v>2.7558494404883009</v>
      </c>
      <c r="J182" s="227">
        <f>I182/H182</f>
        <v>1.0048669743190688</v>
      </c>
      <c r="K182" s="227">
        <f>(1/J182-1.0256)*100</f>
        <v>-3.0443401607826659</v>
      </c>
      <c r="L182" s="227"/>
    </row>
    <row r="183" spans="1:20" ht="15.75">
      <c r="A183" s="230" t="s">
        <v>6706</v>
      </c>
      <c r="B183" s="225" t="s">
        <v>4134</v>
      </c>
      <c r="C183" s="224">
        <f>1452/(1+$P$3)</f>
        <v>1336.0964673913043</v>
      </c>
      <c r="D183" s="303">
        <f>17689.5162559973*(1+$P$3)</f>
        <v>19224.044244243651</v>
      </c>
      <c r="E183" s="227" t="s">
        <v>5140</v>
      </c>
      <c r="F183" s="226">
        <v>486.84610260918487</v>
      </c>
      <c r="G183" s="300">
        <f>C183*D183*0.9912/(F183*1.003631981)</f>
        <v>52104.793252817217</v>
      </c>
      <c r="H183" s="227">
        <f>C183/F183</f>
        <v>2.7443918318965248</v>
      </c>
      <c r="I183" s="227">
        <f>$O$54/$O$55</f>
        <v>2.7558494404883009</v>
      </c>
      <c r="J183" s="227">
        <f>I183/H183</f>
        <v>1.0041749171742209</v>
      </c>
      <c r="K183" s="227">
        <f>(1/J183-1.0256)*100</f>
        <v>-2.9757559706798276</v>
      </c>
      <c r="L183" s="227"/>
      <c r="N183" t="s">
        <v>25</v>
      </c>
      <c r="O183" t="s">
        <v>25</v>
      </c>
    </row>
    <row r="184" spans="1:20" ht="15.75">
      <c r="A184" s="230" t="s">
        <v>6706</v>
      </c>
      <c r="B184" s="225" t="s">
        <v>4134</v>
      </c>
      <c r="C184" s="224">
        <f>1453/(1+$P$3)</f>
        <v>1337.016644021739</v>
      </c>
      <c r="D184" s="303">
        <f>17687.9250137494*(1+$P$3)</f>
        <v>19222.314965108242</v>
      </c>
      <c r="E184" s="227" t="s">
        <v>5140</v>
      </c>
      <c r="F184" s="226">
        <v>486.84610260918487</v>
      </c>
      <c r="G184" s="300">
        <f>C184*D184*0.9912/(F184*1.003631981)</f>
        <v>52135.987835563821</v>
      </c>
      <c r="H184" s="227">
        <f>C184/F184</f>
        <v>2.7462819089157371</v>
      </c>
      <c r="I184" s="227">
        <f>$O$54/$O$55</f>
        <v>2.7558494404883009</v>
      </c>
      <c r="J184" s="227">
        <f t="shared" ref="J184:J200" si="141">I184/H184</f>
        <v>1.0034838126200749</v>
      </c>
      <c r="K184" s="227">
        <f t="shared" ref="K184:K200" si="142">(1/J184-1.0256)*100</f>
        <v>-2.9071717805769892</v>
      </c>
      <c r="L184" s="227"/>
    </row>
    <row r="185" spans="1:20" ht="15.75">
      <c r="A185" s="230" t="s">
        <v>6706</v>
      </c>
      <c r="B185" s="225" t="s">
        <v>4134</v>
      </c>
      <c r="C185" s="224">
        <f>1454/(1+$P$3)</f>
        <v>1337.9368206521738</v>
      </c>
      <c r="D185" s="303">
        <f>17686.3337715014*(1+$P$3)</f>
        <v>19220.585685972728</v>
      </c>
      <c r="E185" s="227" t="s">
        <v>5140</v>
      </c>
      <c r="F185" s="226">
        <v>486.84610260918487</v>
      </c>
      <c r="G185" s="300">
        <f>C185*D185*0.9912/(F185*1.003631981)</f>
        <v>52167.175962341666</v>
      </c>
      <c r="H185" s="227">
        <f>C185/F185</f>
        <v>2.7481719859349494</v>
      </c>
      <c r="I185" s="227">
        <f>$O$54/$O$55</f>
        <v>2.7558494404883009</v>
      </c>
      <c r="J185" s="227">
        <f t="shared" si="141"/>
        <v>1.0027936586911752</v>
      </c>
      <c r="K185" s="227">
        <f t="shared" si="142"/>
        <v>-2.8385875904741509</v>
      </c>
      <c r="L185" s="227"/>
      <c r="O185" t="s">
        <v>25</v>
      </c>
    </row>
    <row r="186" spans="1:20" ht="15.75">
      <c r="A186" s="230" t="s">
        <v>6706</v>
      </c>
      <c r="B186" s="225" t="s">
        <v>4134</v>
      </c>
      <c r="C186" s="224">
        <f>1455/(1+$P$3)</f>
        <v>1338.8569972826087</v>
      </c>
      <c r="D186" s="303">
        <f>17684.7425292535*(1+$P$3)</f>
        <v>19218.856406837323</v>
      </c>
      <c r="E186" s="227" t="s">
        <v>5140</v>
      </c>
      <c r="F186" s="226">
        <v>486.84610260918487</v>
      </c>
      <c r="G186" s="300">
        <f>C186*D186*0.9912/(F186*1.003631981)</f>
        <v>52198.357633151354</v>
      </c>
      <c r="H186" s="227">
        <f>C186/F186</f>
        <v>2.7500620629541626</v>
      </c>
      <c r="I186" s="227">
        <f>$O$54/$O$55</f>
        <v>2.7558494404883009</v>
      </c>
      <c r="J186" s="227">
        <f t="shared" si="141"/>
        <v>1.0021044534274697</v>
      </c>
      <c r="K186" s="227">
        <f t="shared" si="142"/>
        <v>-2.7700034003712792</v>
      </c>
      <c r="L186" s="227"/>
    </row>
    <row r="187" spans="1:20" ht="15.75">
      <c r="A187" s="230" t="s">
        <v>6706</v>
      </c>
      <c r="B187" s="225" t="s">
        <v>4134</v>
      </c>
      <c r="C187" s="224">
        <f>1456/(1+$P$3)</f>
        <v>1339.7771739130435</v>
      </c>
      <c r="D187" s="303">
        <f>17683.1512870056*(1+$P$3)</f>
        <v>19217.127127701915</v>
      </c>
      <c r="E187" s="227" t="s">
        <v>5140</v>
      </c>
      <c r="F187" s="226">
        <v>486.84610260918487</v>
      </c>
      <c r="G187" s="300">
        <f>C187*D187*0.9912/(F187*1.003631981)</f>
        <v>52229.532847992559</v>
      </c>
      <c r="H187" s="227">
        <f>C187/F187</f>
        <v>2.7519521399733748</v>
      </c>
      <c r="I187" s="227">
        <f>$O$54/$O$55</f>
        <v>2.7558494404883009</v>
      </c>
      <c r="J187" s="227">
        <f t="shared" si="141"/>
        <v>1.0014161948742917</v>
      </c>
      <c r="K187" s="227">
        <f t="shared" si="142"/>
        <v>-2.7014192102684631</v>
      </c>
      <c r="L187" s="227"/>
      <c r="O187" t="s">
        <v>25</v>
      </c>
    </row>
    <row r="188" spans="1:20" ht="15.75">
      <c r="A188" s="230" t="s">
        <v>6706</v>
      </c>
      <c r="B188" s="225" t="s">
        <v>4134</v>
      </c>
      <c r="C188" s="224">
        <f>1457/(1+$P$3)</f>
        <v>1340.6973505434783</v>
      </c>
      <c r="D188" s="303">
        <f>17681.5600447576*(1+$P$3)</f>
        <v>19215.397848566401</v>
      </c>
      <c r="E188" s="227" t="s">
        <v>5140</v>
      </c>
      <c r="F188" s="226">
        <v>486.84610260918487</v>
      </c>
      <c r="G188" s="300">
        <f>C188*D188*0.9912/(F188*1.003631981)</f>
        <v>52260.701606865005</v>
      </c>
      <c r="H188" s="227">
        <f>C188/F188</f>
        <v>2.7538422169925871</v>
      </c>
      <c r="I188" s="227">
        <f>$O$54/$O$55</f>
        <v>2.7558494404883009</v>
      </c>
      <c r="J188" s="227">
        <f t="shared" si="141"/>
        <v>1.0007288810823396</v>
      </c>
      <c r="K188" s="227">
        <f t="shared" si="142"/>
        <v>-2.6328350201656359</v>
      </c>
      <c r="L188" s="227"/>
      <c r="O188" t="s">
        <v>25</v>
      </c>
    </row>
    <row r="189" spans="1:20" ht="15.75">
      <c r="A189" s="230" t="s">
        <v>6706</v>
      </c>
      <c r="B189" s="225" t="s">
        <v>4134</v>
      </c>
      <c r="C189" s="224">
        <f>1458/(1+$P$3)</f>
        <v>1341.617527173913</v>
      </c>
      <c r="D189" s="303">
        <f>17679.9688025097*(1+$P$3)</f>
        <v>19213.668569430989</v>
      </c>
      <c r="E189" s="227" t="s">
        <v>5140</v>
      </c>
      <c r="F189" s="226">
        <v>486.84610260918487</v>
      </c>
      <c r="G189" s="300">
        <f>C189*D189*0.9912/(F189*1.003631981)</f>
        <v>52291.863909769258</v>
      </c>
      <c r="H189" s="227">
        <f>C189/F189</f>
        <v>2.7557322940117994</v>
      </c>
      <c r="I189" s="227">
        <f>$O$54/$O$55</f>
        <v>2.7558494404883009</v>
      </c>
      <c r="J189" s="227">
        <f t="shared" si="141"/>
        <v>1.0000425101076604</v>
      </c>
      <c r="K189" s="227">
        <f t="shared" si="142"/>
        <v>-2.5642508300628086</v>
      </c>
      <c r="L189" s="227"/>
      <c r="T189" t="s">
        <v>25</v>
      </c>
    </row>
    <row r="190" spans="1:20" ht="15.75">
      <c r="A190" s="230" t="s">
        <v>6706</v>
      </c>
      <c r="B190" s="225" t="s">
        <v>4134</v>
      </c>
      <c r="C190" s="224">
        <f>1471/(1+$P$3)</f>
        <v>1353.5798233695652</v>
      </c>
      <c r="D190" s="303">
        <f>17679.8279735872*(1+$P$3)</f>
        <v>19213.515523898383</v>
      </c>
      <c r="E190" s="227" t="s">
        <v>5140</v>
      </c>
      <c r="F190" s="226">
        <v>491.15716618608906</v>
      </c>
      <c r="G190" s="300">
        <f>C190*D190*0.9912/(F190*1.003631981)</f>
        <v>52294.621540621047</v>
      </c>
      <c r="H190" s="227">
        <f>C190/F190</f>
        <v>2.7558995705597065</v>
      </c>
      <c r="I190" s="227">
        <f>$O$54/$O$55</f>
        <v>2.7558494404883009</v>
      </c>
      <c r="J190" s="227">
        <f t="shared" si="141"/>
        <v>0.99998180990630392</v>
      </c>
      <c r="K190" s="227">
        <f t="shared" si="142"/>
        <v>-2.5581809575418557</v>
      </c>
      <c r="L190" s="227"/>
    </row>
    <row r="191" spans="1:20" ht="15.75">
      <c r="A191" s="230" t="s">
        <v>6706</v>
      </c>
      <c r="B191" s="225" t="s">
        <v>4134</v>
      </c>
      <c r="C191" s="224">
        <f>1459/(1+$P$3)</f>
        <v>1342.5377038043478</v>
      </c>
      <c r="D191" s="303">
        <f>17678.3775602618*(1+$P$3)</f>
        <v>19211.939290295588</v>
      </c>
      <c r="E191" s="227" t="s">
        <v>5140</v>
      </c>
      <c r="F191" s="226">
        <v>486.84610260918487</v>
      </c>
      <c r="G191" s="300">
        <f>C191*D191*0.9912/(F191*1.003631981)</f>
        <v>52323.019756705078</v>
      </c>
      <c r="H191" s="227">
        <f>C191/F191</f>
        <v>2.7576223710310122</v>
      </c>
      <c r="I191" s="227">
        <f>$O$54/$O$55</f>
        <v>2.7558494404883009</v>
      </c>
      <c r="J191" s="227">
        <f t="shared" si="141"/>
        <v>0.99935708001163037</v>
      </c>
      <c r="K191" s="227">
        <f t="shared" si="142"/>
        <v>-2.4956666399599481</v>
      </c>
      <c r="L191" s="227"/>
      <c r="M191" t="s">
        <v>25</v>
      </c>
    </row>
    <row r="192" spans="1:20" ht="15.75">
      <c r="A192" s="230" t="s">
        <v>6706</v>
      </c>
      <c r="B192" s="225" t="s">
        <v>4134</v>
      </c>
      <c r="C192" s="224">
        <f>1472/(1+$P$3)</f>
        <v>1354.5</v>
      </c>
      <c r="D192" s="303">
        <f>17678.2506982463*(1+$P$3)</f>
        <v>19211.80142326951</v>
      </c>
      <c r="E192" s="227" t="s">
        <v>5140</v>
      </c>
      <c r="F192" s="226">
        <v>491.15716618608906</v>
      </c>
      <c r="G192" s="300">
        <f>C192*D192*0.9912/(F192*1.003631981)</f>
        <v>52325.50338318236</v>
      </c>
      <c r="H192" s="227">
        <f>C192/F192</f>
        <v>2.7577730576912902</v>
      </c>
      <c r="I192" s="227">
        <f>$O$54/$O$55</f>
        <v>2.7558494404883009</v>
      </c>
      <c r="J192" s="227">
        <f t="shared" si="141"/>
        <v>0.99930247443761755</v>
      </c>
      <c r="K192" s="227">
        <f t="shared" si="142"/>
        <v>-2.4901987556095184</v>
      </c>
      <c r="L192" s="227"/>
    </row>
    <row r="193" spans="1:15" ht="15.75">
      <c r="A193" s="230" t="s">
        <v>6706</v>
      </c>
      <c r="B193" s="225" t="s">
        <v>4134</v>
      </c>
      <c r="C193" s="224">
        <f>1460/(1+$P$3)</f>
        <v>1343.4578804347825</v>
      </c>
      <c r="D193" s="303">
        <f>17676.7863180138*(1+$P$3)</f>
        <v>19210.21001116007</v>
      </c>
      <c r="E193" s="227" t="s">
        <v>5140</v>
      </c>
      <c r="F193" s="226">
        <v>486.84610260918487</v>
      </c>
      <c r="G193" s="300">
        <f>C193*D193*0.9912/(F193*1.003631981)</f>
        <v>52354.16914767211</v>
      </c>
      <c r="H193" s="227">
        <f>C193/F193</f>
        <v>2.7595124480502244</v>
      </c>
      <c r="I193" s="227">
        <f>$O$54/$O$55</f>
        <v>2.7558494404883009</v>
      </c>
      <c r="J193" s="227">
        <f t="shared" si="141"/>
        <v>0.99867258886093746</v>
      </c>
      <c r="K193" s="227">
        <f t="shared" si="142"/>
        <v>-2.4270824498571208</v>
      </c>
      <c r="L193" s="227"/>
      <c r="O193" t="s">
        <v>25</v>
      </c>
    </row>
    <row r="194" spans="1:15" ht="15.75">
      <c r="A194" s="230" t="s">
        <v>6706</v>
      </c>
      <c r="B194" s="225" t="s">
        <v>4134</v>
      </c>
      <c r="C194" s="224">
        <f>1473/(1+$P$3)</f>
        <v>1355.4201766304348</v>
      </c>
      <c r="D194" s="303">
        <f>17676.6734229054*(1+$P$3)</f>
        <v>19210.08732264064</v>
      </c>
      <c r="E194" s="227" t="s">
        <v>5140</v>
      </c>
      <c r="F194" s="226">
        <v>491.15716618608906</v>
      </c>
      <c r="G194" s="300">
        <f>C194*D194*0.9912/(F194*1.003631981)</f>
        <v>52356.378882610581</v>
      </c>
      <c r="H194" s="227">
        <f>C194/F194</f>
        <v>2.759646544822874</v>
      </c>
      <c r="I194" s="227">
        <f>$O$54/$O$55</f>
        <v>2.7558494404883009</v>
      </c>
      <c r="J194" s="227">
        <f t="shared" si="141"/>
        <v>0.99862406135245962</v>
      </c>
      <c r="K194" s="227">
        <f t="shared" si="142"/>
        <v>-2.4222165536771811</v>
      </c>
      <c r="L194" s="227"/>
      <c r="M194" t="s">
        <v>25</v>
      </c>
    </row>
    <row r="195" spans="1:15" ht="15.75">
      <c r="A195" s="230" t="s">
        <v>6706</v>
      </c>
      <c r="B195" s="225" t="s">
        <v>4134</v>
      </c>
      <c r="C195" s="224">
        <f>1461/(1+$P$3)</f>
        <v>1344.3780570652173</v>
      </c>
      <c r="D195" s="303">
        <f>17675.1950757659*(1+$P$3)</f>
        <v>19208.480732024662</v>
      </c>
      <c r="E195" s="227" t="s">
        <v>5140</v>
      </c>
      <c r="F195" s="226">
        <v>486.84610260918487</v>
      </c>
      <c r="G195" s="300">
        <f>C195*D195*0.9912/(F195*1.003631981)</f>
        <v>52385.312082670978</v>
      </c>
      <c r="H195" s="227">
        <f>C195/F195</f>
        <v>2.7614025250694367</v>
      </c>
      <c r="I195" s="227">
        <f>$O$54/$O$55</f>
        <v>2.7558494404883009</v>
      </c>
      <c r="J195" s="227">
        <f t="shared" si="141"/>
        <v>0.99798903472756251</v>
      </c>
      <c r="K195" s="227">
        <f t="shared" si="142"/>
        <v>-2.3584982597542936</v>
      </c>
      <c r="L195" s="227"/>
      <c r="M195" t="s">
        <v>25</v>
      </c>
    </row>
    <row r="196" spans="1:15" ht="15.75">
      <c r="A196" s="230" t="s">
        <v>6706</v>
      </c>
      <c r="B196" s="225" t="s">
        <v>4134</v>
      </c>
      <c r="C196" s="224">
        <f>1462/(1+$P$3)</f>
        <v>1345.298233695652</v>
      </c>
      <c r="D196" s="303">
        <f>17673.603833518*(1+$P$3)</f>
        <v>19206.751452889253</v>
      </c>
      <c r="E196" s="227" t="s">
        <v>5140</v>
      </c>
      <c r="F196" s="226">
        <v>486.84610260918487</v>
      </c>
      <c r="G196" s="300">
        <f>C196*D196*0.9912/(F196*1.003631981)</f>
        <v>52416.448561701378</v>
      </c>
      <c r="H196" s="227">
        <f>C196/F196</f>
        <v>2.7632926020886495</v>
      </c>
      <c r="I196" s="227">
        <f>$O$54/$O$55</f>
        <v>2.7558494404883009</v>
      </c>
      <c r="J196" s="227">
        <f t="shared" si="141"/>
        <v>0.99730641568876111</v>
      </c>
      <c r="K196" s="227">
        <f t="shared" si="142"/>
        <v>-2.2899140696514442</v>
      </c>
      <c r="L196" s="227"/>
      <c r="N196" t="s">
        <v>25</v>
      </c>
    </row>
    <row r="197" spans="1:15" ht="15.75">
      <c r="A197" s="230" t="s">
        <v>6706</v>
      </c>
      <c r="B197" s="225" t="s">
        <v>4134</v>
      </c>
      <c r="C197" s="224">
        <f>1474/(1+$P$3)</f>
        <v>1356.3403532608695</v>
      </c>
      <c r="D197" s="303">
        <f>17675.0961475646*(1+$P$3)</f>
        <v>19208.37322201188</v>
      </c>
      <c r="E197" s="227" t="s">
        <v>5140</v>
      </c>
      <c r="F197" s="226">
        <v>491.15716618608906</v>
      </c>
      <c r="G197" s="300">
        <f>C197*D197*0.9912/(F197*1.003631981)</f>
        <v>52387.248038905978</v>
      </c>
      <c r="H197" s="227">
        <f>C197/F197</f>
        <v>2.7615200319544577</v>
      </c>
      <c r="I197" s="227">
        <f>$O$54/$O$55</f>
        <v>2.7558494404883009</v>
      </c>
      <c r="J197" s="227">
        <f t="shared" si="141"/>
        <v>0.99794656877352306</v>
      </c>
      <c r="K197" s="227">
        <f t="shared" si="142"/>
        <v>-2.3542343517448439</v>
      </c>
      <c r="L197" s="227"/>
    </row>
    <row r="198" spans="1:15" ht="15.75">
      <c r="A198" s="230" t="s">
        <v>6706</v>
      </c>
      <c r="B198" s="225" t="s">
        <v>4134</v>
      </c>
      <c r="C198" s="224">
        <f>1463/(1+$P$3)</f>
        <v>1346.218410326087</v>
      </c>
      <c r="D198" s="303">
        <f>17672.01259127*(1+$P$3)</f>
        <v>19205.022173753739</v>
      </c>
      <c r="E198" s="227" t="s">
        <v>5140</v>
      </c>
      <c r="F198" s="226">
        <v>486.84610260918487</v>
      </c>
      <c r="G198" s="300">
        <f>C198*D198*0.9912/(F198*1.003631981)</f>
        <v>52447.578584763032</v>
      </c>
      <c r="H198" s="227">
        <f>C198/F198</f>
        <v>2.7651826791078622</v>
      </c>
      <c r="I198" s="227">
        <f>$O$54/$O$55</f>
        <v>2.7558494404883009</v>
      </c>
      <c r="J198" s="227">
        <f t="shared" si="141"/>
        <v>0.9966247298270462</v>
      </c>
      <c r="K198" s="227">
        <f t="shared" si="142"/>
        <v>-2.2213298795485947</v>
      </c>
      <c r="L198" s="227"/>
    </row>
    <row r="199" spans="1:15" ht="15.75">
      <c r="A199" s="230" t="s">
        <v>6706</v>
      </c>
      <c r="B199" s="225" t="s">
        <v>4134</v>
      </c>
      <c r="C199" s="224">
        <f>1475/(1+$P$3)</f>
        <v>1357.2605298913043</v>
      </c>
      <c r="D199" s="303">
        <f>17673.5188722237*(1+$P$3)</f>
        <v>19206.659121383011</v>
      </c>
      <c r="E199" s="227" t="s">
        <v>5140</v>
      </c>
      <c r="F199" s="226">
        <v>491.15716618608906</v>
      </c>
      <c r="G199" s="300">
        <f>C199*D199*0.9912/(F199*1.003631981)</f>
        <v>52418.110852067948</v>
      </c>
      <c r="H199" s="227">
        <f>C199/F199</f>
        <v>2.7633935190860415</v>
      </c>
      <c r="I199" s="227">
        <f>$O$54/$O$55</f>
        <v>2.7558494404883009</v>
      </c>
      <c r="J199" s="227">
        <f t="shared" si="141"/>
        <v>0.99726999482859191</v>
      </c>
      <c r="K199" s="227">
        <f t="shared" si="142"/>
        <v>-2.2862521498125288</v>
      </c>
      <c r="L199" s="227"/>
      <c r="O199" t="s">
        <v>25</v>
      </c>
    </row>
    <row r="200" spans="1:15" ht="15.75">
      <c r="A200" s="230" t="s">
        <v>6706</v>
      </c>
      <c r="B200" s="225" t="s">
        <v>4134</v>
      </c>
      <c r="C200" s="224">
        <f>1464/(1+$P$3)</f>
        <v>1347.1385869565217</v>
      </c>
      <c r="D200" s="303">
        <f>17670.4213490221*(1+$P$3)</f>
        <v>19203.292894618335</v>
      </c>
      <c r="E200" s="227" t="s">
        <v>5140</v>
      </c>
      <c r="F200" s="226">
        <v>486.84610260918487</v>
      </c>
      <c r="G200" s="300">
        <f>C200*D200*0.9912/(F200*1.003631981)</f>
        <v>52478.702151856502</v>
      </c>
      <c r="H200" s="227">
        <f>C200/F200</f>
        <v>2.7670727561270745</v>
      </c>
      <c r="I200" s="227">
        <f>$O$54/$O$55</f>
        <v>2.7558494404883009</v>
      </c>
      <c r="J200" s="227">
        <f t="shared" si="141"/>
        <v>0.99594397523016986</v>
      </c>
      <c r="K200" s="227">
        <f t="shared" si="142"/>
        <v>-2.1527456894457675</v>
      </c>
      <c r="L200" s="227"/>
      <c r="N200" t="s">
        <v>25</v>
      </c>
    </row>
    <row r="201" spans="1:15" ht="15.75">
      <c r="A201" s="230" t="s">
        <v>6706</v>
      </c>
      <c r="B201" s="225" t="s">
        <v>4134</v>
      </c>
      <c r="C201" s="224">
        <f>1465/(1+$P$3)</f>
        <v>1348.0587635869565</v>
      </c>
      <c r="D201" s="303">
        <f>14196.57*(1+$P$3)</f>
        <v>15428.092314507199</v>
      </c>
      <c r="E201" s="227" t="s">
        <v>5140</v>
      </c>
      <c r="F201" s="226">
        <v>486.84610260918487</v>
      </c>
      <c r="G201" s="300">
        <f>C201*D201*0.9912/(F201*1.003631981)</f>
        <v>42190.644222022223</v>
      </c>
      <c r="H201" s="227">
        <f>C201/F201</f>
        <v>2.7689628331462872</v>
      </c>
      <c r="I201" s="227">
        <f>$O$54/$O$55</f>
        <v>2.7558494404883009</v>
      </c>
      <c r="J201" s="227">
        <f>I201/H201</f>
        <v>0.9952641499911048</v>
      </c>
      <c r="K201" s="227">
        <f>(1/J201-1.0256)*100</f>
        <v>-2.0841614993429181</v>
      </c>
      <c r="L201" s="227"/>
      <c r="N201" t="s">
        <v>25</v>
      </c>
    </row>
    <row r="202" spans="1:15" ht="15.75">
      <c r="A202" s="230" t="s">
        <v>6718</v>
      </c>
      <c r="B202" s="225" t="s">
        <v>4134</v>
      </c>
      <c r="C202" s="224">
        <f>1462/(1+$P$3)</f>
        <v>1345.298233695652</v>
      </c>
      <c r="D202" s="303">
        <f>28337.82122*(1+$P$3)</f>
        <v>30796.06706226652</v>
      </c>
      <c r="E202" s="227" t="s">
        <v>5140</v>
      </c>
      <c r="F202" s="226">
        <v>480</v>
      </c>
      <c r="G202" s="300">
        <f>C202*D202*0.9912/(F202*1.003631981)</f>
        <v>85243.130965768389</v>
      </c>
      <c r="H202" s="227">
        <f>C202/F202</f>
        <v>2.8027046535326083</v>
      </c>
      <c r="I202" s="227">
        <f>$O$54/$O$55</f>
        <v>2.7558494404883009</v>
      </c>
      <c r="J202" s="227">
        <f>I202/H202</f>
        <v>0.98328214391578872</v>
      </c>
      <c r="K202" s="227">
        <f>(1/J202-1.0256)*100</f>
        <v>-0.85979053442031272</v>
      </c>
      <c r="L202" s="227"/>
    </row>
    <row r="203" spans="1:15" ht="15.75">
      <c r="A203" s="230" t="s">
        <v>6726</v>
      </c>
      <c r="B203" s="225" t="s">
        <v>4134</v>
      </c>
      <c r="C203" s="224">
        <f>1408/(1+$P$3)</f>
        <v>1295.6086956521738</v>
      </c>
      <c r="D203" s="303">
        <f>10000*(1+$P$3)</f>
        <v>10867.47877445552</v>
      </c>
      <c r="E203" s="227" t="s">
        <v>5140</v>
      </c>
      <c r="F203" s="226">
        <v>460.7</v>
      </c>
      <c r="G203" s="300">
        <f>C203*D203*0.9912/(F203*1.003631981)</f>
        <v>30183.614406606379</v>
      </c>
      <c r="H203" s="227">
        <f>C203/F203</f>
        <v>2.812261114938515</v>
      </c>
      <c r="I203" s="227">
        <f>$O$54/$O$55</f>
        <v>2.7558494404883009</v>
      </c>
      <c r="J203" s="227">
        <f>I203/H203</f>
        <v>0.97994081198557292</v>
      </c>
      <c r="K203" s="227">
        <f>(1/J203-1.0256)*100</f>
        <v>-0.51302045092063153</v>
      </c>
      <c r="L203" s="227"/>
      <c r="M203" t="s">
        <v>25</v>
      </c>
    </row>
    <row r="204" spans="1:15" ht="15.75">
      <c r="A204" s="230" t="s">
        <v>6726</v>
      </c>
      <c r="B204" s="225" t="s">
        <v>4134</v>
      </c>
      <c r="C204" s="224">
        <f>1417/(1+$P$3)</f>
        <v>1303.890285326087</v>
      </c>
      <c r="D204" s="303">
        <f>10000*(1+$P$3)</f>
        <v>10867.47877445552</v>
      </c>
      <c r="E204" s="227" t="s">
        <v>5140</v>
      </c>
      <c r="F204" s="226">
        <v>460.7</v>
      </c>
      <c r="G204" s="300">
        <f>C204*D204*0.9912/(F204*1.003631981)</f>
        <v>30376.549441875886</v>
      </c>
      <c r="H204" s="227">
        <f>C204/F204</f>
        <v>2.8302372158152531</v>
      </c>
      <c r="I204" s="227">
        <f>$O$54/$O$55</f>
        <v>2.7558494404883009</v>
      </c>
      <c r="J204" s="227">
        <f t="shared" ref="J204:J210" si="143">I204/H204</f>
        <v>0.97371677013104196</v>
      </c>
      <c r="K204" s="227">
        <f t="shared" ref="K204:K210" si="144">(1/J204-1.0256)*100</f>
        <v>0.1392684808561695</v>
      </c>
      <c r="L204" s="227"/>
    </row>
    <row r="205" spans="1:15" ht="15.75">
      <c r="A205" s="230" t="s">
        <v>6727</v>
      </c>
      <c r="B205" s="225" t="s">
        <v>4134</v>
      </c>
      <c r="C205" s="224">
        <f>1426/(1+$P$3)</f>
        <v>1312.171875</v>
      </c>
      <c r="D205" s="303">
        <f>26511*(1+$P$3)</f>
        <v>28810.772978959027</v>
      </c>
      <c r="E205" s="227" t="s">
        <v>5140</v>
      </c>
      <c r="F205" s="226">
        <v>460.6</v>
      </c>
      <c r="G205" s="300">
        <f>C205*D205*0.9912/(F205*1.003631981)</f>
        <v>81060.355338675217</v>
      </c>
      <c r="H205" s="227">
        <f>C205/F205</f>
        <v>2.8488316869300911</v>
      </c>
      <c r="I205" s="227">
        <f>$O$54/$O$55</f>
        <v>2.7558494404883009</v>
      </c>
      <c r="J205" s="227">
        <f t="shared" si="143"/>
        <v>0.96736127063301935</v>
      </c>
      <c r="K205" s="227">
        <f t="shared" si="144"/>
        <v>0.81399587494572767</v>
      </c>
      <c r="L205" s="227"/>
    </row>
    <row r="206" spans="1:15" ht="15.75">
      <c r="A206" s="230" t="s">
        <v>6727</v>
      </c>
      <c r="B206" s="225" t="s">
        <v>4134</v>
      </c>
      <c r="C206" s="224">
        <f>1432/(1+$P$3)</f>
        <v>1317.6929347826087</v>
      </c>
      <c r="D206" s="303">
        <f>4860*(1+$P$3)</f>
        <v>5281.5946843853826</v>
      </c>
      <c r="E206" s="227" t="s">
        <v>5140</v>
      </c>
      <c r="F206" s="226">
        <v>460.1</v>
      </c>
      <c r="G206" s="300">
        <f>C206*D206*0.9912/(F206*1.003631981)</f>
        <v>14938.736108785724</v>
      </c>
      <c r="H206" s="227">
        <f>C206/F206</f>
        <v>2.8639272653392931</v>
      </c>
      <c r="I206" s="227">
        <f>$O$54/$O$55</f>
        <v>2.7558494404883009</v>
      </c>
      <c r="J206" s="227">
        <f t="shared" si="143"/>
        <v>0.96226237092016786</v>
      </c>
      <c r="K206" s="227">
        <f t="shared" si="144"/>
        <v>1.3617608648403445</v>
      </c>
      <c r="L206" s="227"/>
    </row>
    <row r="207" spans="1:15" ht="15.75">
      <c r="A207" s="230" t="s">
        <v>6729</v>
      </c>
      <c r="B207" s="225" t="s">
        <v>4134</v>
      </c>
      <c r="C207" s="224">
        <f>1398/(1+$P$3)</f>
        <v>1286.406929347826</v>
      </c>
      <c r="D207" s="303">
        <f>10000*(1+$P$3)</f>
        <v>10867.47877445552</v>
      </c>
      <c r="E207" s="227" t="s">
        <v>5140</v>
      </c>
      <c r="F207" s="226">
        <v>444</v>
      </c>
      <c r="G207" s="300">
        <f>C207*D207*0.9912/(F207*1.003631981)</f>
        <v>31096.463640296653</v>
      </c>
      <c r="H207" s="227">
        <f>C207/F207</f>
        <v>2.8973129039365451</v>
      </c>
      <c r="I207" s="227">
        <f>$O$54/$O$55</f>
        <v>2.7558494404883009</v>
      </c>
      <c r="J207" s="227">
        <f>I207/H207</f>
        <v>0.95117425416632106</v>
      </c>
      <c r="K207" s="227">
        <f>(1/J207-1.0256)*100</f>
        <v>2.5732072561692076</v>
      </c>
      <c r="L207" s="227"/>
      <c r="N207" t="s">
        <v>25</v>
      </c>
      <c r="O207" t="s">
        <v>25</v>
      </c>
    </row>
    <row r="208" spans="1:15" ht="15.75">
      <c r="A208" s="230" t="s">
        <v>6729</v>
      </c>
      <c r="B208" s="225" t="s">
        <v>4134</v>
      </c>
      <c r="C208" s="224">
        <f>1398/(1+$P$3)</f>
        <v>1286.406929347826</v>
      </c>
      <c r="D208" s="303">
        <f>12000*(1+$P$3)</f>
        <v>13040.974529346622</v>
      </c>
      <c r="E208" s="227" t="s">
        <v>5140</v>
      </c>
      <c r="F208" s="226">
        <v>442.97</v>
      </c>
      <c r="G208" s="300">
        <f>C208*D208*0.9912/(F208*1.003631981)</f>
        <v>37402.523483644611</v>
      </c>
      <c r="H208" s="227">
        <f>C208/F208</f>
        <v>2.9040497761650359</v>
      </c>
      <c r="I208" s="227">
        <f>$O$54/$O$55</f>
        <v>2.7558494404883009</v>
      </c>
      <c r="J208" s="227">
        <f>I208/H208</f>
        <v>0.94896770127940366</v>
      </c>
      <c r="K208" s="227">
        <f>(1/J208-1.0256)*100</f>
        <v>2.8176644507283299</v>
      </c>
      <c r="L208" s="227"/>
      <c r="O208" t="s">
        <v>25</v>
      </c>
    </row>
    <row r="209" spans="1:16" ht="15.75">
      <c r="A209" s="230"/>
      <c r="B209" s="225"/>
      <c r="C209" s="224"/>
      <c r="D209" s="303"/>
      <c r="E209" s="227"/>
      <c r="F209" s="226"/>
      <c r="G209" s="300"/>
      <c r="H209" s="227"/>
      <c r="I209" s="227"/>
      <c r="J209" s="227"/>
      <c r="K209" s="227"/>
      <c r="L209" s="227"/>
    </row>
    <row r="210" spans="1:16" ht="15.75">
      <c r="A210" s="230"/>
      <c r="B210" s="225"/>
      <c r="C210" s="224"/>
      <c r="D210" s="303"/>
      <c r="E210" s="227"/>
      <c r="F210" s="226"/>
      <c r="G210" s="300"/>
      <c r="H210" s="227"/>
      <c r="I210" s="227">
        <f>$O$54/$O$55</f>
        <v>2.7558494404883009</v>
      </c>
      <c r="J210" s="227" t="e">
        <f t="shared" si="143"/>
        <v>#DIV/0!</v>
      </c>
      <c r="K210" s="227" t="e">
        <f t="shared" si="144"/>
        <v>#DIV/0!</v>
      </c>
      <c r="L210" s="227"/>
      <c r="O210" t="s">
        <v>25</v>
      </c>
    </row>
    <row r="214" spans="1:16">
      <c r="N214" t="s">
        <v>25</v>
      </c>
    </row>
    <row r="217" spans="1:16">
      <c r="N217" t="s">
        <v>25</v>
      </c>
    </row>
    <row r="218" spans="1:16">
      <c r="K218" t="s">
        <v>25</v>
      </c>
      <c r="P218" t="s">
        <v>25</v>
      </c>
    </row>
    <row r="219" spans="1:16">
      <c r="J219" t="s">
        <v>25</v>
      </c>
      <c r="N219" t="s">
        <v>25</v>
      </c>
    </row>
    <row r="221" spans="1:16">
      <c r="N221" t="s">
        <v>25</v>
      </c>
    </row>
    <row r="222" spans="1:16">
      <c r="N222" t="s">
        <v>25</v>
      </c>
    </row>
    <row r="223" spans="1:16">
      <c r="N223" t="s">
        <v>25</v>
      </c>
    </row>
    <row r="226" spans="1:15">
      <c r="O226" t="s">
        <v>25</v>
      </c>
    </row>
    <row r="229" spans="1:15">
      <c r="D229">
        <v>28000</v>
      </c>
    </row>
    <row r="231" spans="1:15">
      <c r="A231" t="s">
        <v>6572</v>
      </c>
      <c r="B231">
        <v>10330</v>
      </c>
      <c r="C231">
        <v>11900</v>
      </c>
      <c r="D231" s="7">
        <f>B231*$D$229</f>
        <v>289240000</v>
      </c>
      <c r="E231" s="7">
        <f>C231*$D$229</f>
        <v>333200000</v>
      </c>
      <c r="F231" s="7">
        <v>440000000</v>
      </c>
      <c r="G231">
        <f>(F231-E231)*100/E231</f>
        <v>32.052821128451377</v>
      </c>
    </row>
    <row r="232" spans="1:15">
      <c r="A232" t="s">
        <v>6573</v>
      </c>
      <c r="C232">
        <v>18000</v>
      </c>
      <c r="D232" s="7">
        <f>B232*$D$229</f>
        <v>0</v>
      </c>
      <c r="E232" s="7">
        <f>C232*$D$229</f>
        <v>504000000</v>
      </c>
      <c r="F232" s="7">
        <v>700000000</v>
      </c>
      <c r="G232">
        <f t="shared" ref="G232:G249" si="145">(F232-E232)*100/E232</f>
        <v>38.888888888888886</v>
      </c>
    </row>
    <row r="233" spans="1:15">
      <c r="A233" t="s">
        <v>6574</v>
      </c>
      <c r="C233">
        <v>19000</v>
      </c>
      <c r="D233" s="7">
        <f>B233*$D$229</f>
        <v>0</v>
      </c>
      <c r="E233" s="7">
        <f>C233*$D$229</f>
        <v>532000000</v>
      </c>
      <c r="F233" s="7">
        <v>650000000</v>
      </c>
      <c r="G233">
        <f t="shared" si="145"/>
        <v>22.180451127819548</v>
      </c>
    </row>
    <row r="234" spans="1:15">
      <c r="A234" t="s">
        <v>6575</v>
      </c>
      <c r="C234">
        <v>23000</v>
      </c>
      <c r="D234" s="7">
        <f>B234*$D$229</f>
        <v>0</v>
      </c>
      <c r="E234" s="7">
        <f>C234*$D$229</f>
        <v>644000000</v>
      </c>
      <c r="F234" s="7">
        <v>930000000</v>
      </c>
      <c r="G234">
        <f t="shared" si="145"/>
        <v>44.409937888198755</v>
      </c>
    </row>
    <row r="235" spans="1:15">
      <c r="A235" t="s">
        <v>6576</v>
      </c>
      <c r="C235">
        <v>13000</v>
      </c>
      <c r="D235" s="7">
        <f>B235*$D$229</f>
        <v>0</v>
      </c>
      <c r="E235" s="7">
        <f>C235*$D$229</f>
        <v>364000000</v>
      </c>
      <c r="F235" s="7">
        <v>600000000</v>
      </c>
      <c r="G235">
        <f t="shared" si="145"/>
        <v>64.835164835164832</v>
      </c>
    </row>
    <row r="236" spans="1:15">
      <c r="A236" t="s">
        <v>6577</v>
      </c>
      <c r="C236">
        <v>13000</v>
      </c>
      <c r="D236" s="7">
        <f>B236*$D$229</f>
        <v>0</v>
      </c>
      <c r="E236" s="7">
        <f>C236*$D$229</f>
        <v>364000000</v>
      </c>
      <c r="F236" s="7">
        <v>400000000</v>
      </c>
      <c r="G236">
        <f t="shared" si="145"/>
        <v>9.8901098901098905</v>
      </c>
    </row>
    <row r="237" spans="1:15">
      <c r="A237" t="s">
        <v>6578</v>
      </c>
      <c r="C237">
        <v>13600</v>
      </c>
      <c r="D237" s="7">
        <f>B237*$D$229</f>
        <v>0</v>
      </c>
      <c r="E237" s="7">
        <f>C237*$D$229</f>
        <v>380800000</v>
      </c>
      <c r="F237" s="7">
        <v>520000000</v>
      </c>
      <c r="G237">
        <f t="shared" si="145"/>
        <v>36.554621848739494</v>
      </c>
      <c r="O237" t="s">
        <v>25</v>
      </c>
    </row>
    <row r="238" spans="1:15">
      <c r="A238" t="s">
        <v>6579</v>
      </c>
      <c r="C238">
        <v>28000</v>
      </c>
      <c r="D238" s="7">
        <f>B238*$D$229</f>
        <v>0</v>
      </c>
      <c r="E238" s="7">
        <f>C238*$D$229</f>
        <v>784000000</v>
      </c>
      <c r="F238" s="7">
        <v>900000000</v>
      </c>
      <c r="G238">
        <f t="shared" si="145"/>
        <v>14.795918367346939</v>
      </c>
    </row>
    <row r="239" spans="1:15">
      <c r="A239" t="s">
        <v>6580</v>
      </c>
      <c r="C239">
        <v>19000</v>
      </c>
      <c r="D239" s="7">
        <f>B239*$D$229</f>
        <v>0</v>
      </c>
      <c r="E239" s="7">
        <f>C239*$D$229</f>
        <v>532000000</v>
      </c>
      <c r="F239" s="7">
        <v>700000000</v>
      </c>
      <c r="G239">
        <f t="shared" si="145"/>
        <v>31.578947368421051</v>
      </c>
      <c r="N239" t="s">
        <v>25</v>
      </c>
    </row>
    <row r="240" spans="1:15">
      <c r="A240" t="s">
        <v>6581</v>
      </c>
      <c r="C240">
        <v>15000</v>
      </c>
      <c r="D240" s="7">
        <f>B240*$D$229</f>
        <v>0</v>
      </c>
      <c r="E240" s="7">
        <f>C240*$D$229</f>
        <v>420000000</v>
      </c>
      <c r="F240" s="7">
        <v>700000000</v>
      </c>
      <c r="G240">
        <f t="shared" si="145"/>
        <v>66.666666666666671</v>
      </c>
    </row>
    <row r="241" spans="1:15">
      <c r="A241" t="s">
        <v>6582</v>
      </c>
      <c r="C241">
        <v>21000</v>
      </c>
      <c r="D241" s="7">
        <f>B241*$D$229</f>
        <v>0</v>
      </c>
      <c r="E241" s="7">
        <f>C241*$D$229</f>
        <v>588000000</v>
      </c>
      <c r="F241" s="7">
        <v>700000000</v>
      </c>
      <c r="G241">
        <f t="shared" si="145"/>
        <v>19.047619047619047</v>
      </c>
    </row>
    <row r="242" spans="1:15">
      <c r="A242" t="s">
        <v>6583</v>
      </c>
      <c r="C242">
        <v>17000</v>
      </c>
      <c r="D242" s="7">
        <f>B242*$D$229</f>
        <v>0</v>
      </c>
      <c r="E242" s="7">
        <f>C242*$D$229</f>
        <v>476000000</v>
      </c>
      <c r="F242" s="7">
        <v>700000000</v>
      </c>
      <c r="G242">
        <f t="shared" si="145"/>
        <v>47.058823529411768</v>
      </c>
    </row>
    <row r="243" spans="1:15">
      <c r="A243" t="s">
        <v>6584</v>
      </c>
      <c r="C243">
        <v>11000</v>
      </c>
      <c r="D243" s="7">
        <f>B243*$D$229</f>
        <v>0</v>
      </c>
      <c r="E243" s="7">
        <f>C243*$D$229</f>
        <v>308000000</v>
      </c>
      <c r="F243" s="7">
        <v>370000000</v>
      </c>
      <c r="G243">
        <f t="shared" si="145"/>
        <v>20.129870129870131</v>
      </c>
    </row>
    <row r="244" spans="1:15">
      <c r="D244" s="7">
        <f>B244*$D$229</f>
        <v>0</v>
      </c>
      <c r="E244" s="7">
        <f>C244*$D$229</f>
        <v>0</v>
      </c>
      <c r="F244" s="7"/>
      <c r="G244" t="e">
        <f t="shared" si="145"/>
        <v>#DIV/0!</v>
      </c>
    </row>
    <row r="245" spans="1:15">
      <c r="D245" s="7">
        <f>B245*$D$229</f>
        <v>0</v>
      </c>
      <c r="E245" s="7">
        <f>C245*$D$229</f>
        <v>0</v>
      </c>
      <c r="F245" s="7"/>
      <c r="G245" t="e">
        <f t="shared" si="145"/>
        <v>#DIV/0!</v>
      </c>
    </row>
    <row r="246" spans="1:15">
      <c r="D246" s="7">
        <f>B246*$D$229</f>
        <v>0</v>
      </c>
      <c r="E246" s="7">
        <f>C246*$D$229</f>
        <v>0</v>
      </c>
      <c r="F246" s="7"/>
      <c r="G246" t="e">
        <f t="shared" si="145"/>
        <v>#DIV/0!</v>
      </c>
      <c r="O246" t="s">
        <v>25</v>
      </c>
    </row>
    <row r="247" spans="1:15">
      <c r="D247" s="7">
        <f>B247*$D$229</f>
        <v>0</v>
      </c>
      <c r="E247" s="7">
        <f>C247*$D$229</f>
        <v>0</v>
      </c>
      <c r="F247" s="7"/>
      <c r="G247" t="e">
        <f t="shared" si="145"/>
        <v>#DIV/0!</v>
      </c>
    </row>
    <row r="248" spans="1:15">
      <c r="D248" s="7">
        <f>B248*$D$229</f>
        <v>0</v>
      </c>
      <c r="E248" s="7">
        <f>C248*$D$229</f>
        <v>0</v>
      </c>
      <c r="F248" s="7"/>
      <c r="G248" t="e">
        <f t="shared" si="145"/>
        <v>#DIV/0!</v>
      </c>
    </row>
    <row r="249" spans="1:15">
      <c r="D249" s="7">
        <f>B249*$D$229</f>
        <v>0</v>
      </c>
      <c r="E249" s="7">
        <f>C249*$D$229</f>
        <v>0</v>
      </c>
      <c r="F249" s="7"/>
      <c r="G249" t="e">
        <f t="shared" si="145"/>
        <v>#DIV/0!</v>
      </c>
    </row>
    <row r="250" spans="1:15">
      <c r="D250" s="7">
        <f>B250*$D$229</f>
        <v>0</v>
      </c>
      <c r="E250" s="7">
        <f>C250*$D$229</f>
        <v>0</v>
      </c>
    </row>
    <row r="251" spans="1:15">
      <c r="D251" s="7">
        <f>B251*$D$229</f>
        <v>0</v>
      </c>
      <c r="E251" s="7">
        <f>C251*$D$229</f>
        <v>0</v>
      </c>
    </row>
    <row r="252" spans="1:15">
      <c r="D252" s="7">
        <f>B252*$D$229</f>
        <v>0</v>
      </c>
      <c r="E252" s="7">
        <f>C252*$D$229</f>
        <v>0</v>
      </c>
    </row>
    <row r="253" spans="1:15">
      <c r="D253" s="7">
        <f>B253*$D$229</f>
        <v>0</v>
      </c>
      <c r="E253" s="7">
        <f>C253*$D$229</f>
        <v>0</v>
      </c>
      <c r="O253" t="s">
        <v>25</v>
      </c>
    </row>
    <row r="280" spans="14:14">
      <c r="N280" t="s">
        <v>25</v>
      </c>
    </row>
    <row r="282" spans="14:14">
      <c r="N282" t="s">
        <v>25</v>
      </c>
    </row>
  </sheetData>
  <phoneticPr fontId="25" type="noConversion"/>
  <conditionalFormatting sqref="K1:K14 K156:K210 K151:K154 K141:K148 M139:M142 K16:K66 P98:P124 K68:K97 P135:P137 Q98:Q138">
    <cfRule type="cellIs" dxfId="55" priority="114" operator="lessThan">
      <formula>0</formula>
    </cfRule>
    <cfRule type="cellIs" dxfId="54" priority="115" operator="greaterThan">
      <formula>0</formula>
    </cfRule>
    <cfRule type="cellIs" dxfId="53" priority="116" operator="greaterThan">
      <formula>0</formula>
    </cfRule>
  </conditionalFormatting>
  <conditionalFormatting sqref="K15">
    <cfRule type="cellIs" dxfId="52" priority="102" operator="lessThan">
      <formula>0</formula>
    </cfRule>
    <cfRule type="cellIs" dxfId="51" priority="103" operator="greaterThan">
      <formula>0</formula>
    </cfRule>
    <cfRule type="cellIs" dxfId="50" priority="104" operator="greaterThan">
      <formula>0</formula>
    </cfRule>
  </conditionalFormatting>
  <conditionalFormatting sqref="K155">
    <cfRule type="cellIs" dxfId="49" priority="99" operator="lessThan">
      <formula>0</formula>
    </cfRule>
    <cfRule type="cellIs" dxfId="48" priority="100" operator="greaterThan">
      <formula>0</formula>
    </cfRule>
    <cfRule type="cellIs" dxfId="47" priority="101" operator="greaterThan">
      <formula>0</formula>
    </cfRule>
  </conditionalFormatting>
  <conditionalFormatting sqref="K150">
    <cfRule type="cellIs" dxfId="46" priority="93" operator="lessThan">
      <formula>0</formula>
    </cfRule>
    <cfRule type="cellIs" dxfId="45" priority="94" operator="greaterThan">
      <formula>0</formula>
    </cfRule>
    <cfRule type="cellIs" dxfId="44" priority="95" operator="greaterThan">
      <formula>0</formula>
    </cfRule>
  </conditionalFormatting>
  <conditionalFormatting sqref="K149">
    <cfRule type="cellIs" dxfId="43" priority="90" operator="lessThan">
      <formula>0</formula>
    </cfRule>
    <cfRule type="cellIs" dxfId="42" priority="91" operator="greaterThan">
      <formula>0</formula>
    </cfRule>
    <cfRule type="cellIs" dxfId="41" priority="92" operator="greaterThan">
      <formula>0</formula>
    </cfRule>
  </conditionalFormatting>
  <conditionalFormatting sqref="K67">
    <cfRule type="cellIs" dxfId="40" priority="51" operator="lessThan">
      <formula>0</formula>
    </cfRule>
    <cfRule type="cellIs" dxfId="39" priority="52" operator="greaterThan">
      <formula>0</formula>
    </cfRule>
    <cfRule type="cellIs" dxfId="38" priority="53" operator="greaterThan">
      <formula>0</formula>
    </cfRule>
  </conditionalFormatting>
  <conditionalFormatting sqref="K139:K140">
    <cfRule type="cellIs" dxfId="37" priority="48" operator="lessThan">
      <formula>0</formula>
    </cfRule>
    <cfRule type="cellIs" dxfId="36" priority="49" operator="greaterThan">
      <formula>0</formula>
    </cfRule>
    <cfRule type="cellIs" dxfId="35" priority="50" operator="greaterThan">
      <formula>0</formula>
    </cfRule>
  </conditionalFormatting>
  <conditionalFormatting sqref="P138">
    <cfRule type="cellIs" dxfId="34" priority="5" operator="lessThan">
      <formula>0</formula>
    </cfRule>
    <cfRule type="cellIs" dxfId="33" priority="6" operator="greaterThan">
      <formula>0</formula>
    </cfRule>
    <cfRule type="cellIs" dxfId="32" priority="7" operator="greaterThan">
      <formula>0</formula>
    </cfRule>
  </conditionalFormatting>
  <conditionalFormatting sqref="P102:P124 P135:P137 Q98:Q138">
    <cfRule type="cellIs" dxfId="31" priority="40" operator="lessThan">
      <formula>1</formula>
    </cfRule>
    <cfRule type="cellIs" dxfId="30" priority="41" operator="greaterThan">
      <formula>1</formula>
    </cfRule>
  </conditionalFormatting>
  <conditionalFormatting sqref="P134">
    <cfRule type="cellIs" dxfId="29" priority="32" operator="lessThan">
      <formula>0</formula>
    </cfRule>
    <cfRule type="cellIs" dxfId="28" priority="33" operator="greaterThan">
      <formula>0</formula>
    </cfRule>
    <cfRule type="cellIs" dxfId="27" priority="34" operator="greaterThan">
      <formula>0</formula>
    </cfRule>
  </conditionalFormatting>
  <conditionalFormatting sqref="P134">
    <cfRule type="cellIs" dxfId="26" priority="30" operator="lessThan">
      <formula>1</formula>
    </cfRule>
    <cfRule type="cellIs" dxfId="25" priority="31" operator="greaterThan">
      <formula>1</formula>
    </cfRule>
  </conditionalFormatting>
  <conditionalFormatting sqref="P138">
    <cfRule type="cellIs" dxfId="24" priority="3" operator="lessThan">
      <formula>1</formula>
    </cfRule>
    <cfRule type="cellIs" dxfId="23" priority="4" operator="greaterThan">
      <formula>1</formula>
    </cfRule>
  </conditionalFormatting>
  <conditionalFormatting sqref="P98:P101">
    <cfRule type="cellIs" dxfId="22" priority="23" operator="lessThan">
      <formula>1</formula>
    </cfRule>
    <cfRule type="cellIs" dxfId="21" priority="24" operator="greaterThan">
      <formula>1</formula>
    </cfRule>
  </conditionalFormatting>
  <conditionalFormatting sqref="P129">
    <cfRule type="cellIs" dxfId="20" priority="20" operator="lessThan">
      <formula>0</formula>
    </cfRule>
    <cfRule type="cellIs" dxfId="19" priority="21" operator="greaterThan">
      <formula>0</formula>
    </cfRule>
    <cfRule type="cellIs" dxfId="18" priority="22" operator="greaterThan">
      <formula>0</formula>
    </cfRule>
  </conditionalFormatting>
  <conditionalFormatting sqref="P129">
    <cfRule type="cellIs" dxfId="17" priority="18" operator="lessThan">
      <formula>1</formula>
    </cfRule>
    <cfRule type="cellIs" dxfId="16" priority="19" operator="greaterThan">
      <formula>1</formula>
    </cfRule>
  </conditionalFormatting>
  <conditionalFormatting sqref="P130:P133">
    <cfRule type="cellIs" dxfId="15" priority="15" operator="lessThan">
      <formula>0</formula>
    </cfRule>
    <cfRule type="cellIs" dxfId="14" priority="16" operator="greaterThan">
      <formula>0</formula>
    </cfRule>
    <cfRule type="cellIs" dxfId="13" priority="17" operator="greaterThan">
      <formula>0</formula>
    </cfRule>
  </conditionalFormatting>
  <conditionalFormatting sqref="P130:P133">
    <cfRule type="cellIs" dxfId="12" priority="13" operator="lessThan">
      <formula>1</formula>
    </cfRule>
    <cfRule type="cellIs" dxfId="11" priority="14" operator="greaterThan">
      <formula>1</formula>
    </cfRule>
  </conditionalFormatting>
  <conditionalFormatting sqref="P125:P128">
    <cfRule type="cellIs" dxfId="10" priority="10" operator="lessThan">
      <formula>0</formula>
    </cfRule>
    <cfRule type="cellIs" dxfId="9" priority="11" operator="greaterThan">
      <formula>0</formula>
    </cfRule>
    <cfRule type="cellIs" dxfId="8" priority="12" operator="greaterThan">
      <formula>0</formula>
    </cfRule>
  </conditionalFormatting>
  <conditionalFormatting sqref="P125:P128">
    <cfRule type="cellIs" dxfId="7" priority="8" operator="lessThan">
      <formula>1</formula>
    </cfRule>
    <cfRule type="cellIs" dxfId="6" priority="9" operator="greaterThan">
      <formula>1</formula>
    </cfRule>
  </conditionalFormatting>
  <conditionalFormatting sqref="Q98:Q138">
    <cfRule type="cellIs" dxfId="5" priority="1" operator="lessThan">
      <formula>0</formula>
    </cfRule>
    <cfRule type="cellIs" dxfId="4" priority="2"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D30"/>
  <sheetViews>
    <sheetView topLeftCell="A7" workbookViewId="0">
      <selection activeCell="D21" sqref="D21"/>
    </sheetView>
  </sheetViews>
  <sheetFormatPr defaultRowHeight="15"/>
  <cols>
    <col min="1" max="1" width="11.85546875" bestFit="1" customWidth="1"/>
    <col min="2" max="3" width="15.28515625" bestFit="1" customWidth="1"/>
    <col min="4" max="4" width="8.85546875" customWidth="1"/>
    <col min="5" max="5" width="8.42578125" bestFit="1" customWidth="1"/>
    <col min="6" max="6" width="6" bestFit="1" customWidth="1"/>
    <col min="7" max="7" width="8.42578125" bestFit="1" customWidth="1"/>
    <col min="8" max="8" width="6" bestFit="1" customWidth="1"/>
    <col min="9" max="9" width="8.42578125" bestFit="1" customWidth="1"/>
    <col min="10" max="10" width="6" style="405" bestFit="1" customWidth="1"/>
    <col min="11" max="11" width="8.42578125" bestFit="1" customWidth="1"/>
    <col min="12" max="12" width="7.5703125" style="405" bestFit="1" customWidth="1"/>
    <col min="13" max="13" width="10.5703125" bestFit="1" customWidth="1"/>
    <col min="14" max="14" width="7.7109375" style="405" bestFit="1" customWidth="1"/>
    <col min="15" max="15" width="10.5703125" bestFit="1" customWidth="1"/>
    <col min="16" max="16" width="7.7109375" style="405" bestFit="1" customWidth="1"/>
    <col min="17" max="17" width="9.7109375" bestFit="1" customWidth="1"/>
    <col min="18" max="18" width="7.7109375" style="405" bestFit="1" customWidth="1"/>
    <col min="19" max="19" width="9.7109375" bestFit="1" customWidth="1"/>
    <col min="20" max="20" width="7.5703125" style="405" bestFit="1" customWidth="1"/>
    <col min="21" max="21" width="7.7109375" bestFit="1" customWidth="1"/>
    <col min="22" max="22" width="7.5703125" style="405" bestFit="1" customWidth="1"/>
    <col min="23" max="23" width="7.7109375" bestFit="1" customWidth="1"/>
    <col min="24" max="24" width="7.5703125" style="405" bestFit="1" customWidth="1"/>
    <col min="25" max="25" width="7.7109375" bestFit="1" customWidth="1"/>
    <col min="26" max="26" width="7.5703125" style="405" bestFit="1" customWidth="1"/>
    <col min="27" max="27" width="7.7109375" bestFit="1" customWidth="1"/>
    <col min="28" max="28" width="10.42578125" style="405" bestFit="1" customWidth="1"/>
    <col min="29" max="29" width="10.42578125" bestFit="1" customWidth="1"/>
    <col min="30" max="30" width="10.42578125" style="405" bestFit="1" customWidth="1"/>
    <col min="31" max="32" width="10.42578125" bestFit="1" customWidth="1"/>
  </cols>
  <sheetData>
    <row r="1" spans="1:30" ht="21">
      <c r="A1" s="408" t="s">
        <v>6905</v>
      </c>
      <c r="B1" s="408" t="s">
        <v>6904</v>
      </c>
      <c r="C1" s="436" t="s">
        <v>6930</v>
      </c>
      <c r="D1" s="408">
        <v>600</v>
      </c>
      <c r="E1" s="436"/>
      <c r="F1" s="408">
        <v>700</v>
      </c>
      <c r="G1" s="408"/>
      <c r="H1" s="408">
        <v>800</v>
      </c>
      <c r="I1" s="408"/>
      <c r="J1" s="408">
        <v>900</v>
      </c>
      <c r="K1" s="408"/>
      <c r="L1" s="408">
        <v>1000</v>
      </c>
      <c r="M1" s="408"/>
      <c r="N1" s="408">
        <v>1100</v>
      </c>
      <c r="O1" s="408"/>
      <c r="P1" s="408">
        <v>1200</v>
      </c>
      <c r="Q1" s="408"/>
      <c r="R1" s="408">
        <v>1300</v>
      </c>
      <c r="S1" s="408"/>
      <c r="T1" s="408">
        <v>1400</v>
      </c>
      <c r="U1" s="408"/>
      <c r="V1" s="408">
        <v>1500</v>
      </c>
      <c r="W1" s="408"/>
      <c r="X1" s="408">
        <v>1600</v>
      </c>
      <c r="Y1" s="408"/>
      <c r="Z1" s="408">
        <v>1700</v>
      </c>
      <c r="AA1" s="11"/>
      <c r="AB1"/>
      <c r="AD1"/>
    </row>
    <row r="2" spans="1:30" ht="21">
      <c r="A2" s="409">
        <v>600</v>
      </c>
      <c r="B2" s="410">
        <v>700</v>
      </c>
      <c r="C2" s="451">
        <f>$A$13-A2</f>
        <v>750</v>
      </c>
      <c r="D2" s="441">
        <f>IF(D$1&gt;$B2,$B2,D$1)</f>
        <v>600</v>
      </c>
      <c r="E2" s="437">
        <f>(D2-$C2)/$C2</f>
        <v>-0.2</v>
      </c>
      <c r="F2" s="441">
        <f>IF(F$1&gt;$B2,$B2,F$1)</f>
        <v>700</v>
      </c>
      <c r="G2" s="437">
        <f>(F2-$C2)/$C2</f>
        <v>-6.6666666666666666E-2</v>
      </c>
      <c r="H2" s="441">
        <f>IF(H$1&gt;$B2,$B2,H$1)</f>
        <v>700</v>
      </c>
      <c r="I2" s="437">
        <f>(H2-$C2)/$C2</f>
        <v>-6.6666666666666666E-2</v>
      </c>
      <c r="J2" s="441">
        <f>IF(J$1&gt;$B2,$B2,J$1)</f>
        <v>700</v>
      </c>
      <c r="K2" s="437">
        <f>(J2-$C2)/$C2</f>
        <v>-6.6666666666666666E-2</v>
      </c>
      <c r="L2" s="441">
        <f>IF(L$1&gt;$B2,$B2,L$1)</f>
        <v>700</v>
      </c>
      <c r="M2" s="482">
        <f>(L2-$C2)/$C2</f>
        <v>-6.6666666666666666E-2</v>
      </c>
      <c r="N2" s="481">
        <f>IF(N$1&gt;$B2,$B2,N$1)</f>
        <v>700</v>
      </c>
      <c r="O2" s="482">
        <f>(N2-$C2)/$C2</f>
        <v>-6.6666666666666666E-2</v>
      </c>
      <c r="P2" s="481">
        <f>IF(P$1&gt;$B2,$B2,P$1)</f>
        <v>700</v>
      </c>
      <c r="Q2" s="482">
        <f>(P2-$C2)/$C2</f>
        <v>-6.6666666666666666E-2</v>
      </c>
      <c r="R2" s="481">
        <f>IF(R$1&gt;$B2,$B2,R$1)</f>
        <v>700</v>
      </c>
      <c r="S2" s="482">
        <f>(R2-$C2)/$C2</f>
        <v>-6.6666666666666666E-2</v>
      </c>
      <c r="T2" s="441">
        <f>IF(T$1&gt;$B2,$B2,T$1)</f>
        <v>700</v>
      </c>
      <c r="U2" s="437">
        <f>(T2-$C2)/$C2</f>
        <v>-6.6666666666666666E-2</v>
      </c>
      <c r="V2" s="441">
        <f>IF(V$1&gt;$B2,$B2,V$1)</f>
        <v>700</v>
      </c>
      <c r="W2" s="437">
        <f>(V2-$C2)/$C2</f>
        <v>-6.6666666666666666E-2</v>
      </c>
      <c r="X2" s="441">
        <f>IF(X$1&gt;$B2,$B2,X$1)</f>
        <v>700</v>
      </c>
      <c r="Y2" s="437">
        <f>(X2-$C2)/$C2</f>
        <v>-6.6666666666666666E-2</v>
      </c>
      <c r="Z2" s="441">
        <f>IF(Z$1&gt;$B2,$B2,Z$1)</f>
        <v>700</v>
      </c>
      <c r="AA2" s="437">
        <f>(Z2-$C2)/$C2</f>
        <v>-6.6666666666666666E-2</v>
      </c>
      <c r="AD2"/>
    </row>
    <row r="3" spans="1:30" ht="21">
      <c r="A3" s="407">
        <v>560</v>
      </c>
      <c r="B3" s="412">
        <v>750</v>
      </c>
      <c r="C3" s="451">
        <f>$A$13-A3</f>
        <v>790</v>
      </c>
      <c r="D3" s="441">
        <f t="shared" ref="D3:D12" si="0">IF(D$1&gt;$B3,$B3,D$1)</f>
        <v>600</v>
      </c>
      <c r="E3" s="437">
        <f>(D3-$C3)/$C3</f>
        <v>-0.24050632911392406</v>
      </c>
      <c r="F3" s="441">
        <f t="shared" ref="F3:F12" si="1">IF(F$1&gt;$B3,$B3,F$1)</f>
        <v>700</v>
      </c>
      <c r="G3" s="437">
        <f t="shared" ref="G3:G12" si="2">(F3-$C3)/$C3</f>
        <v>-0.11392405063291139</v>
      </c>
      <c r="H3" s="441">
        <f t="shared" ref="H3:H12" si="3">IF(H$1&gt;$B3,$B3,H$1)</f>
        <v>750</v>
      </c>
      <c r="I3" s="437">
        <f t="shared" ref="I3:I12" si="4">(H3-$C3)/$C3</f>
        <v>-5.0632911392405063E-2</v>
      </c>
      <c r="J3" s="441">
        <f t="shared" ref="J3:J12" si="5">IF(J$1&gt;$B3,$B3,J$1)</f>
        <v>750</v>
      </c>
      <c r="K3" s="437">
        <f t="shared" ref="K3:K12" si="6">(J3-$C3)/$C3</f>
        <v>-5.0632911392405063E-2</v>
      </c>
      <c r="L3" s="441">
        <f t="shared" ref="L3:L12" si="7">IF(L$1&gt;$B3,$B3,L$1)</f>
        <v>750</v>
      </c>
      <c r="M3" s="482">
        <f t="shared" ref="M3:M12" si="8">(L3-$C3)/$C3</f>
        <v>-5.0632911392405063E-2</v>
      </c>
      <c r="N3" s="481">
        <f t="shared" ref="N3:N12" si="9">IF(N$1&gt;$B3,$B3,N$1)</f>
        <v>750</v>
      </c>
      <c r="O3" s="482">
        <f t="shared" ref="O3:O12" si="10">(N3-$C3)/$C3</f>
        <v>-5.0632911392405063E-2</v>
      </c>
      <c r="P3" s="481">
        <f t="shared" ref="P3:P12" si="11">IF(P$1&gt;$B3,$B3,P$1)</f>
        <v>750</v>
      </c>
      <c r="Q3" s="482">
        <f t="shared" ref="Q3:Q12" si="12">(P3-$C3)/$C3</f>
        <v>-5.0632911392405063E-2</v>
      </c>
      <c r="R3" s="481">
        <f t="shared" ref="R3:R12" si="13">IF(R$1&gt;$B3,$B3,R$1)</f>
        <v>750</v>
      </c>
      <c r="S3" s="482">
        <f t="shared" ref="S3:S12" si="14">(R3-$C3)/$C3</f>
        <v>-5.0632911392405063E-2</v>
      </c>
      <c r="T3" s="441">
        <f t="shared" ref="T3:T12" si="15">IF(T$1&gt;$B3,$B3,T$1)</f>
        <v>750</v>
      </c>
      <c r="U3" s="437">
        <f t="shared" ref="U3:U12" si="16">(T3-$C3)/$C3</f>
        <v>-5.0632911392405063E-2</v>
      </c>
      <c r="V3" s="441">
        <f t="shared" ref="V3:V12" si="17">IF(V$1&gt;$B3,$B3,V$1)</f>
        <v>750</v>
      </c>
      <c r="W3" s="437">
        <f t="shared" ref="W3:W12" si="18">(V3-$C3)/$C3</f>
        <v>-5.0632911392405063E-2</v>
      </c>
      <c r="X3" s="441">
        <f t="shared" ref="X3:X12" si="19">IF(X$1&gt;$B3,$B3,X$1)</f>
        <v>750</v>
      </c>
      <c r="Y3" s="437">
        <f t="shared" ref="Y3:Y12" si="20">(X3-$C3)/$C3</f>
        <v>-5.0632911392405063E-2</v>
      </c>
      <c r="Z3" s="441">
        <f t="shared" ref="Z3:Z12" si="21">IF(Z$1&gt;$B3,$B3,Z$1)</f>
        <v>750</v>
      </c>
      <c r="AA3" s="437">
        <f t="shared" ref="AA3:AA12" si="22">(Z3-$C3)/$C3</f>
        <v>-5.0632911392405063E-2</v>
      </c>
      <c r="AB3"/>
      <c r="AD3"/>
    </row>
    <row r="4" spans="1:30" ht="21">
      <c r="A4" s="406">
        <v>520</v>
      </c>
      <c r="B4" s="420">
        <v>800</v>
      </c>
      <c r="C4" s="451">
        <f t="shared" ref="C4:C12" si="23">$A$13-A4</f>
        <v>830</v>
      </c>
      <c r="D4" s="441">
        <f t="shared" si="0"/>
        <v>600</v>
      </c>
      <c r="E4" s="437">
        <f>(D4-$C4)/$C4</f>
        <v>-0.27710843373493976</v>
      </c>
      <c r="F4" s="441">
        <f t="shared" si="1"/>
        <v>700</v>
      </c>
      <c r="G4" s="437">
        <f t="shared" si="2"/>
        <v>-0.15662650602409639</v>
      </c>
      <c r="H4" s="441">
        <f t="shared" si="3"/>
        <v>800</v>
      </c>
      <c r="I4" s="437">
        <f t="shared" si="4"/>
        <v>-3.614457831325301E-2</v>
      </c>
      <c r="J4" s="441">
        <f t="shared" si="5"/>
        <v>800</v>
      </c>
      <c r="K4" s="437">
        <f t="shared" si="6"/>
        <v>-3.614457831325301E-2</v>
      </c>
      <c r="L4" s="441">
        <f t="shared" si="7"/>
        <v>800</v>
      </c>
      <c r="M4" s="482">
        <f t="shared" si="8"/>
        <v>-3.614457831325301E-2</v>
      </c>
      <c r="N4" s="481">
        <f t="shared" si="9"/>
        <v>800</v>
      </c>
      <c r="O4" s="482">
        <f t="shared" si="10"/>
        <v>-3.614457831325301E-2</v>
      </c>
      <c r="P4" s="481">
        <f t="shared" si="11"/>
        <v>800</v>
      </c>
      <c r="Q4" s="482">
        <f t="shared" si="12"/>
        <v>-3.614457831325301E-2</v>
      </c>
      <c r="R4" s="481">
        <f t="shared" si="13"/>
        <v>800</v>
      </c>
      <c r="S4" s="482">
        <f t="shared" si="14"/>
        <v>-3.614457831325301E-2</v>
      </c>
      <c r="T4" s="441">
        <f t="shared" si="15"/>
        <v>800</v>
      </c>
      <c r="U4" s="437">
        <f t="shared" si="16"/>
        <v>-3.614457831325301E-2</v>
      </c>
      <c r="V4" s="441">
        <f t="shared" si="17"/>
        <v>800</v>
      </c>
      <c r="W4" s="437">
        <f t="shared" si="18"/>
        <v>-3.614457831325301E-2</v>
      </c>
      <c r="X4" s="441">
        <f t="shared" si="19"/>
        <v>800</v>
      </c>
      <c r="Y4" s="437">
        <f t="shared" si="20"/>
        <v>-3.614457831325301E-2</v>
      </c>
      <c r="Z4" s="441">
        <f t="shared" si="21"/>
        <v>800</v>
      </c>
      <c r="AA4" s="437">
        <f t="shared" si="22"/>
        <v>-3.614457831325301E-2</v>
      </c>
      <c r="AB4"/>
      <c r="AD4"/>
    </row>
    <row r="5" spans="1:30" ht="21">
      <c r="A5" s="417">
        <v>411</v>
      </c>
      <c r="B5" s="418">
        <v>900</v>
      </c>
      <c r="C5" s="451">
        <f t="shared" si="23"/>
        <v>939</v>
      </c>
      <c r="D5" s="441">
        <f t="shared" si="0"/>
        <v>600</v>
      </c>
      <c r="E5" s="437">
        <f t="shared" ref="E5:E12" si="24">(D5-$C5)/$C5</f>
        <v>-0.36102236421725242</v>
      </c>
      <c r="F5" s="441">
        <f t="shared" si="1"/>
        <v>700</v>
      </c>
      <c r="G5" s="437">
        <f t="shared" si="2"/>
        <v>-0.25452609158679446</v>
      </c>
      <c r="H5" s="441">
        <f t="shared" si="3"/>
        <v>800</v>
      </c>
      <c r="I5" s="437">
        <f t="shared" si="4"/>
        <v>-0.14802981895633652</v>
      </c>
      <c r="J5" s="441">
        <f t="shared" si="5"/>
        <v>900</v>
      </c>
      <c r="K5" s="437">
        <f t="shared" si="6"/>
        <v>-4.1533546325878593E-2</v>
      </c>
      <c r="L5" s="441">
        <f t="shared" si="7"/>
        <v>900</v>
      </c>
      <c r="M5" s="482">
        <f t="shared" si="8"/>
        <v>-4.1533546325878593E-2</v>
      </c>
      <c r="N5" s="481">
        <f t="shared" si="9"/>
        <v>900</v>
      </c>
      <c r="O5" s="482">
        <f t="shared" si="10"/>
        <v>-4.1533546325878593E-2</v>
      </c>
      <c r="P5" s="481">
        <f t="shared" si="11"/>
        <v>900</v>
      </c>
      <c r="Q5" s="482">
        <f t="shared" si="12"/>
        <v>-4.1533546325878593E-2</v>
      </c>
      <c r="R5" s="481">
        <f t="shared" si="13"/>
        <v>900</v>
      </c>
      <c r="S5" s="482">
        <f t="shared" si="14"/>
        <v>-4.1533546325878593E-2</v>
      </c>
      <c r="T5" s="441">
        <f t="shared" si="15"/>
        <v>900</v>
      </c>
      <c r="U5" s="437">
        <f t="shared" si="16"/>
        <v>-4.1533546325878593E-2</v>
      </c>
      <c r="V5" s="441">
        <f t="shared" si="17"/>
        <v>900</v>
      </c>
      <c r="W5" s="437">
        <f t="shared" si="18"/>
        <v>-4.1533546325878593E-2</v>
      </c>
      <c r="X5" s="441">
        <f t="shared" si="19"/>
        <v>900</v>
      </c>
      <c r="Y5" s="437">
        <f t="shared" si="20"/>
        <v>-4.1533546325878593E-2</v>
      </c>
      <c r="Z5" s="441">
        <f t="shared" si="21"/>
        <v>900</v>
      </c>
      <c r="AA5" s="437">
        <f t="shared" si="22"/>
        <v>-4.1533546325878593E-2</v>
      </c>
      <c r="AB5"/>
      <c r="AD5"/>
    </row>
    <row r="6" spans="1:30" ht="21">
      <c r="A6" s="414">
        <v>430</v>
      </c>
      <c r="B6" s="415">
        <v>1000</v>
      </c>
      <c r="C6" s="451">
        <f t="shared" si="23"/>
        <v>920</v>
      </c>
      <c r="D6" s="441">
        <f t="shared" si="0"/>
        <v>600</v>
      </c>
      <c r="E6" s="437">
        <f t="shared" si="24"/>
        <v>-0.34782608695652173</v>
      </c>
      <c r="F6" s="441">
        <f t="shared" si="1"/>
        <v>700</v>
      </c>
      <c r="G6" s="437">
        <f t="shared" si="2"/>
        <v>-0.2391304347826087</v>
      </c>
      <c r="H6" s="441">
        <f t="shared" si="3"/>
        <v>800</v>
      </c>
      <c r="I6" s="437">
        <f t="shared" si="4"/>
        <v>-0.13043478260869565</v>
      </c>
      <c r="J6" s="441">
        <f t="shared" si="5"/>
        <v>900</v>
      </c>
      <c r="K6" s="437">
        <f t="shared" si="6"/>
        <v>-2.1739130434782608E-2</v>
      </c>
      <c r="L6" s="441">
        <f t="shared" si="7"/>
        <v>1000</v>
      </c>
      <c r="M6" s="482">
        <f t="shared" si="8"/>
        <v>8.6956521739130432E-2</v>
      </c>
      <c r="N6" s="481">
        <f t="shared" si="9"/>
        <v>1000</v>
      </c>
      <c r="O6" s="482">
        <f t="shared" si="10"/>
        <v>8.6956521739130432E-2</v>
      </c>
      <c r="P6" s="481">
        <f t="shared" si="11"/>
        <v>1000</v>
      </c>
      <c r="Q6" s="482">
        <f t="shared" si="12"/>
        <v>8.6956521739130432E-2</v>
      </c>
      <c r="R6" s="481">
        <f t="shared" si="13"/>
        <v>1000</v>
      </c>
      <c r="S6" s="482">
        <f t="shared" si="14"/>
        <v>8.6956521739130432E-2</v>
      </c>
      <c r="T6" s="441">
        <f t="shared" si="15"/>
        <v>1000</v>
      </c>
      <c r="U6" s="437">
        <f t="shared" si="16"/>
        <v>8.6956521739130432E-2</v>
      </c>
      <c r="V6" s="441">
        <f t="shared" si="17"/>
        <v>1000</v>
      </c>
      <c r="W6" s="437">
        <f t="shared" si="18"/>
        <v>8.6956521739130432E-2</v>
      </c>
      <c r="X6" s="441">
        <f t="shared" si="19"/>
        <v>1000</v>
      </c>
      <c r="Y6" s="437">
        <f t="shared" si="20"/>
        <v>8.6956521739130432E-2</v>
      </c>
      <c r="Z6" s="441">
        <f t="shared" si="21"/>
        <v>1000</v>
      </c>
      <c r="AA6" s="437">
        <f t="shared" si="22"/>
        <v>8.6956521739130432E-2</v>
      </c>
      <c r="AB6"/>
      <c r="AD6"/>
    </row>
    <row r="7" spans="1:30" ht="21">
      <c r="A7" s="426">
        <v>250</v>
      </c>
      <c r="B7" s="427">
        <v>1100</v>
      </c>
      <c r="C7" s="451">
        <f t="shared" si="23"/>
        <v>1100</v>
      </c>
      <c r="D7" s="441">
        <f t="shared" si="0"/>
        <v>600</v>
      </c>
      <c r="E7" s="437">
        <f t="shared" si="24"/>
        <v>-0.45454545454545453</v>
      </c>
      <c r="F7" s="441">
        <f t="shared" si="1"/>
        <v>700</v>
      </c>
      <c r="G7" s="437">
        <f t="shared" si="2"/>
        <v>-0.36363636363636365</v>
      </c>
      <c r="H7" s="441">
        <f t="shared" si="3"/>
        <v>800</v>
      </c>
      <c r="I7" s="437">
        <f t="shared" si="4"/>
        <v>-0.27272727272727271</v>
      </c>
      <c r="J7" s="441">
        <f t="shared" si="5"/>
        <v>900</v>
      </c>
      <c r="K7" s="437">
        <f t="shared" si="6"/>
        <v>-0.18181818181818182</v>
      </c>
      <c r="L7" s="441">
        <f t="shared" si="7"/>
        <v>1000</v>
      </c>
      <c r="M7" s="482">
        <f t="shared" si="8"/>
        <v>-9.0909090909090912E-2</v>
      </c>
      <c r="N7" s="481">
        <f t="shared" si="9"/>
        <v>1100</v>
      </c>
      <c r="O7" s="482">
        <f t="shared" si="10"/>
        <v>0</v>
      </c>
      <c r="P7" s="481">
        <f t="shared" si="11"/>
        <v>1100</v>
      </c>
      <c r="Q7" s="482">
        <f t="shared" si="12"/>
        <v>0</v>
      </c>
      <c r="R7" s="481">
        <f t="shared" si="13"/>
        <v>1100</v>
      </c>
      <c r="S7" s="482">
        <f t="shared" si="14"/>
        <v>0</v>
      </c>
      <c r="T7" s="441">
        <f t="shared" si="15"/>
        <v>1100</v>
      </c>
      <c r="U7" s="437">
        <f t="shared" si="16"/>
        <v>0</v>
      </c>
      <c r="V7" s="441">
        <f t="shared" si="17"/>
        <v>1100</v>
      </c>
      <c r="W7" s="437">
        <f t="shared" si="18"/>
        <v>0</v>
      </c>
      <c r="X7" s="441">
        <f t="shared" si="19"/>
        <v>1100</v>
      </c>
      <c r="Y7" s="437">
        <f t="shared" si="20"/>
        <v>0</v>
      </c>
      <c r="Z7" s="441">
        <f t="shared" si="21"/>
        <v>1100</v>
      </c>
      <c r="AA7" s="437">
        <f t="shared" si="22"/>
        <v>0</v>
      </c>
      <c r="AB7"/>
      <c r="AD7"/>
    </row>
    <row r="8" spans="1:30" ht="21">
      <c r="A8" s="488">
        <v>285</v>
      </c>
      <c r="B8" s="489">
        <v>1200</v>
      </c>
      <c r="C8" s="483">
        <f t="shared" si="23"/>
        <v>1065</v>
      </c>
      <c r="D8" s="484">
        <f t="shared" si="0"/>
        <v>600</v>
      </c>
      <c r="E8" s="485">
        <f t="shared" si="24"/>
        <v>-0.43661971830985913</v>
      </c>
      <c r="F8" s="484">
        <f t="shared" si="1"/>
        <v>700</v>
      </c>
      <c r="G8" s="485">
        <f t="shared" si="2"/>
        <v>-0.34272300469483569</v>
      </c>
      <c r="H8" s="484">
        <f t="shared" si="3"/>
        <v>800</v>
      </c>
      <c r="I8" s="485">
        <f t="shared" si="4"/>
        <v>-0.24882629107981222</v>
      </c>
      <c r="J8" s="484">
        <f t="shared" si="5"/>
        <v>900</v>
      </c>
      <c r="K8" s="485">
        <f t="shared" si="6"/>
        <v>-0.15492957746478872</v>
      </c>
      <c r="L8" s="484">
        <f t="shared" si="7"/>
        <v>1000</v>
      </c>
      <c r="M8" s="486">
        <f t="shared" si="8"/>
        <v>-6.1032863849765258E-2</v>
      </c>
      <c r="N8" s="487">
        <f t="shared" si="9"/>
        <v>1100</v>
      </c>
      <c r="O8" s="486">
        <f t="shared" si="10"/>
        <v>3.2863849765258218E-2</v>
      </c>
      <c r="P8" s="492">
        <f t="shared" si="11"/>
        <v>1200</v>
      </c>
      <c r="Q8" s="493">
        <f t="shared" si="12"/>
        <v>0.12676056338028169</v>
      </c>
      <c r="R8" s="492">
        <f t="shared" si="13"/>
        <v>1200</v>
      </c>
      <c r="S8" s="493">
        <f t="shared" si="14"/>
        <v>0.12676056338028169</v>
      </c>
      <c r="T8" s="484">
        <f t="shared" si="15"/>
        <v>1200</v>
      </c>
      <c r="U8" s="485">
        <f t="shared" si="16"/>
        <v>0.12676056338028169</v>
      </c>
      <c r="V8" s="484">
        <f t="shared" si="17"/>
        <v>1200</v>
      </c>
      <c r="W8" s="485">
        <f t="shared" si="18"/>
        <v>0.12676056338028169</v>
      </c>
      <c r="X8" s="484">
        <f t="shared" si="19"/>
        <v>1200</v>
      </c>
      <c r="Y8" s="485">
        <f t="shared" si="20"/>
        <v>0.12676056338028169</v>
      </c>
      <c r="Z8" s="484">
        <f t="shared" si="21"/>
        <v>1200</v>
      </c>
      <c r="AA8" s="485">
        <f t="shared" si="22"/>
        <v>0.12676056338028169</v>
      </c>
      <c r="AB8"/>
      <c r="AD8"/>
    </row>
    <row r="9" spans="1:30" ht="21">
      <c r="A9" s="488">
        <v>230</v>
      </c>
      <c r="B9" s="489">
        <v>1300</v>
      </c>
      <c r="C9" s="483">
        <f t="shared" si="23"/>
        <v>1120</v>
      </c>
      <c r="D9" s="484">
        <f t="shared" si="0"/>
        <v>600</v>
      </c>
      <c r="E9" s="485">
        <f t="shared" si="24"/>
        <v>-0.4642857142857143</v>
      </c>
      <c r="F9" s="484">
        <f t="shared" si="1"/>
        <v>700</v>
      </c>
      <c r="G9" s="485">
        <f t="shared" si="2"/>
        <v>-0.375</v>
      </c>
      <c r="H9" s="484">
        <f t="shared" si="3"/>
        <v>800</v>
      </c>
      <c r="I9" s="485">
        <f t="shared" si="4"/>
        <v>-0.2857142857142857</v>
      </c>
      <c r="J9" s="484">
        <f t="shared" si="5"/>
        <v>900</v>
      </c>
      <c r="K9" s="485">
        <f t="shared" si="6"/>
        <v>-0.19642857142857142</v>
      </c>
      <c r="L9" s="484">
        <f t="shared" si="7"/>
        <v>1000</v>
      </c>
      <c r="M9" s="486">
        <f t="shared" si="8"/>
        <v>-0.10714285714285714</v>
      </c>
      <c r="N9" s="487">
        <f t="shared" si="9"/>
        <v>1100</v>
      </c>
      <c r="O9" s="486">
        <f t="shared" si="10"/>
        <v>-1.7857142857142856E-2</v>
      </c>
      <c r="P9" s="492">
        <f t="shared" si="11"/>
        <v>1200</v>
      </c>
      <c r="Q9" s="493">
        <f t="shared" si="12"/>
        <v>7.1428571428571425E-2</v>
      </c>
      <c r="R9" s="492">
        <f t="shared" si="13"/>
        <v>1300</v>
      </c>
      <c r="S9" s="493">
        <f t="shared" si="14"/>
        <v>0.16071428571428573</v>
      </c>
      <c r="T9" s="484">
        <f t="shared" si="15"/>
        <v>1300</v>
      </c>
      <c r="U9" s="485">
        <f t="shared" si="16"/>
        <v>0.16071428571428573</v>
      </c>
      <c r="V9" s="484">
        <f t="shared" si="17"/>
        <v>1300</v>
      </c>
      <c r="W9" s="485">
        <f t="shared" si="18"/>
        <v>0.16071428571428573</v>
      </c>
      <c r="X9" s="484">
        <f t="shared" si="19"/>
        <v>1300</v>
      </c>
      <c r="Y9" s="485">
        <f t="shared" si="20"/>
        <v>0.16071428571428573</v>
      </c>
      <c r="Z9" s="484">
        <f t="shared" si="21"/>
        <v>1300</v>
      </c>
      <c r="AA9" s="485">
        <f t="shared" si="22"/>
        <v>0.16071428571428573</v>
      </c>
      <c r="AB9"/>
      <c r="AD9"/>
    </row>
    <row r="10" spans="1:30" ht="21">
      <c r="A10" s="432">
        <v>150</v>
      </c>
      <c r="B10" s="433">
        <v>1400</v>
      </c>
      <c r="C10" s="451">
        <f t="shared" si="23"/>
        <v>1200</v>
      </c>
      <c r="D10" s="441">
        <f t="shared" si="0"/>
        <v>600</v>
      </c>
      <c r="E10" s="437">
        <f t="shared" si="24"/>
        <v>-0.5</v>
      </c>
      <c r="F10" s="441">
        <f t="shared" si="1"/>
        <v>700</v>
      </c>
      <c r="G10" s="437">
        <f t="shared" si="2"/>
        <v>-0.41666666666666669</v>
      </c>
      <c r="H10" s="441">
        <f t="shared" si="3"/>
        <v>800</v>
      </c>
      <c r="I10" s="437">
        <f t="shared" si="4"/>
        <v>-0.33333333333333331</v>
      </c>
      <c r="J10" s="441">
        <f t="shared" si="5"/>
        <v>900</v>
      </c>
      <c r="K10" s="437">
        <f t="shared" si="6"/>
        <v>-0.25</v>
      </c>
      <c r="L10" s="441">
        <f t="shared" si="7"/>
        <v>1000</v>
      </c>
      <c r="M10" s="482">
        <f t="shared" si="8"/>
        <v>-0.16666666666666666</v>
      </c>
      <c r="N10" s="481">
        <f t="shared" si="9"/>
        <v>1100</v>
      </c>
      <c r="O10" s="482">
        <f t="shared" si="10"/>
        <v>-8.3333333333333329E-2</v>
      </c>
      <c r="P10" s="481">
        <f t="shared" si="11"/>
        <v>1200</v>
      </c>
      <c r="Q10" s="482">
        <f t="shared" si="12"/>
        <v>0</v>
      </c>
      <c r="R10" s="481">
        <f t="shared" si="13"/>
        <v>1300</v>
      </c>
      <c r="S10" s="482">
        <f t="shared" si="14"/>
        <v>8.3333333333333329E-2</v>
      </c>
      <c r="T10" s="441">
        <f t="shared" si="15"/>
        <v>1400</v>
      </c>
      <c r="U10" s="437">
        <f t="shared" si="16"/>
        <v>0.16666666666666666</v>
      </c>
      <c r="V10" s="441">
        <f t="shared" si="17"/>
        <v>1400</v>
      </c>
      <c r="W10" s="437">
        <f t="shared" si="18"/>
        <v>0.16666666666666666</v>
      </c>
      <c r="X10" s="441">
        <f t="shared" si="19"/>
        <v>1400</v>
      </c>
      <c r="Y10" s="437">
        <f t="shared" si="20"/>
        <v>0.16666666666666666</v>
      </c>
      <c r="Z10" s="441">
        <f t="shared" si="21"/>
        <v>1400</v>
      </c>
      <c r="AA10" s="437">
        <f t="shared" si="22"/>
        <v>0.16666666666666666</v>
      </c>
      <c r="AB10"/>
      <c r="AC10" t="s">
        <v>25</v>
      </c>
      <c r="AD10"/>
    </row>
    <row r="11" spans="1:30" ht="21">
      <c r="A11" s="429">
        <v>75</v>
      </c>
      <c r="B11" s="430">
        <v>1500</v>
      </c>
      <c r="C11" s="451">
        <f t="shared" si="23"/>
        <v>1275</v>
      </c>
      <c r="D11" s="441">
        <f t="shared" si="0"/>
        <v>600</v>
      </c>
      <c r="E11" s="437">
        <f t="shared" si="24"/>
        <v>-0.52941176470588236</v>
      </c>
      <c r="F11" s="441">
        <f t="shared" si="1"/>
        <v>700</v>
      </c>
      <c r="G11" s="437">
        <f t="shared" si="2"/>
        <v>-0.45098039215686275</v>
      </c>
      <c r="H11" s="441">
        <f t="shared" si="3"/>
        <v>800</v>
      </c>
      <c r="I11" s="437">
        <f t="shared" si="4"/>
        <v>-0.37254901960784315</v>
      </c>
      <c r="J11" s="441">
        <f t="shared" si="5"/>
        <v>900</v>
      </c>
      <c r="K11" s="437">
        <f t="shared" si="6"/>
        <v>-0.29411764705882354</v>
      </c>
      <c r="L11" s="441">
        <f t="shared" si="7"/>
        <v>1000</v>
      </c>
      <c r="M11" s="482">
        <f t="shared" si="8"/>
        <v>-0.21568627450980393</v>
      </c>
      <c r="N11" s="481">
        <f t="shared" si="9"/>
        <v>1100</v>
      </c>
      <c r="O11" s="482">
        <f t="shared" si="10"/>
        <v>-0.13725490196078433</v>
      </c>
      <c r="P11" s="481">
        <f t="shared" si="11"/>
        <v>1200</v>
      </c>
      <c r="Q11" s="482">
        <f t="shared" si="12"/>
        <v>-5.8823529411764705E-2</v>
      </c>
      <c r="R11" s="481">
        <f t="shared" si="13"/>
        <v>1300</v>
      </c>
      <c r="S11" s="482">
        <f t="shared" si="14"/>
        <v>1.9607843137254902E-2</v>
      </c>
      <c r="T11" s="441">
        <f t="shared" si="15"/>
        <v>1400</v>
      </c>
      <c r="U11" s="437">
        <f t="shared" si="16"/>
        <v>9.8039215686274508E-2</v>
      </c>
      <c r="V11" s="441">
        <f t="shared" si="17"/>
        <v>1500</v>
      </c>
      <c r="W11" s="437">
        <f t="shared" si="18"/>
        <v>0.17647058823529413</v>
      </c>
      <c r="X11" s="441">
        <f t="shared" si="19"/>
        <v>1500</v>
      </c>
      <c r="Y11" s="437">
        <f t="shared" si="20"/>
        <v>0.17647058823529413</v>
      </c>
      <c r="Z11" s="441">
        <f t="shared" si="21"/>
        <v>1500</v>
      </c>
      <c r="AA11" s="437">
        <f t="shared" si="22"/>
        <v>0.17647058823529413</v>
      </c>
      <c r="AB11"/>
      <c r="AD11"/>
    </row>
    <row r="12" spans="1:30" ht="21">
      <c r="A12" s="422">
        <v>59</v>
      </c>
      <c r="B12" s="423">
        <v>1600</v>
      </c>
      <c r="C12" s="451">
        <f t="shared" si="23"/>
        <v>1291</v>
      </c>
      <c r="D12" s="441">
        <f t="shared" si="0"/>
        <v>600</v>
      </c>
      <c r="E12" s="437">
        <f t="shared" si="24"/>
        <v>-0.53524399690162661</v>
      </c>
      <c r="F12" s="441">
        <f t="shared" si="1"/>
        <v>700</v>
      </c>
      <c r="G12" s="437">
        <f t="shared" si="2"/>
        <v>-0.45778466305189774</v>
      </c>
      <c r="H12" s="441">
        <f t="shared" si="3"/>
        <v>800</v>
      </c>
      <c r="I12" s="437">
        <f t="shared" si="4"/>
        <v>-0.38032532920216888</v>
      </c>
      <c r="J12" s="441">
        <f t="shared" si="5"/>
        <v>900</v>
      </c>
      <c r="K12" s="437">
        <f t="shared" si="6"/>
        <v>-0.30286599535243997</v>
      </c>
      <c r="L12" s="441">
        <f t="shared" si="7"/>
        <v>1000</v>
      </c>
      <c r="M12" s="482">
        <f t="shared" si="8"/>
        <v>-0.22540666150271108</v>
      </c>
      <c r="N12" s="481">
        <f t="shared" si="9"/>
        <v>1100</v>
      </c>
      <c r="O12" s="482">
        <f t="shared" si="10"/>
        <v>-0.14794732765298219</v>
      </c>
      <c r="P12" s="481">
        <f t="shared" si="11"/>
        <v>1200</v>
      </c>
      <c r="Q12" s="482">
        <f t="shared" si="12"/>
        <v>-7.0487993803253296E-2</v>
      </c>
      <c r="R12" s="481">
        <f t="shared" si="13"/>
        <v>1300</v>
      </c>
      <c r="S12" s="482">
        <f t="shared" si="14"/>
        <v>6.9713400464756006E-3</v>
      </c>
      <c r="T12" s="441">
        <f t="shared" si="15"/>
        <v>1400</v>
      </c>
      <c r="U12" s="437">
        <f t="shared" si="16"/>
        <v>8.4430673896204497E-2</v>
      </c>
      <c r="V12" s="441">
        <f t="shared" si="17"/>
        <v>1500</v>
      </c>
      <c r="W12" s="437">
        <f t="shared" si="18"/>
        <v>0.16189000774593337</v>
      </c>
      <c r="X12" s="441">
        <f t="shared" si="19"/>
        <v>1600</v>
      </c>
      <c r="Y12" s="437">
        <f t="shared" si="20"/>
        <v>0.23934934159566229</v>
      </c>
      <c r="Z12" s="441">
        <f t="shared" si="21"/>
        <v>1600</v>
      </c>
      <c r="AA12" s="437">
        <f t="shared" si="22"/>
        <v>0.23934934159566229</v>
      </c>
      <c r="AB12"/>
      <c r="AD12"/>
    </row>
    <row r="13" spans="1:30" ht="21">
      <c r="A13" s="432">
        <v>1350</v>
      </c>
      <c r="B13" s="432"/>
      <c r="C13" s="438"/>
      <c r="D13" s="434"/>
      <c r="E13" s="490">
        <f>(D1-$A$13)/$A$13</f>
        <v>-0.55555555555555558</v>
      </c>
      <c r="F13" s="434"/>
      <c r="G13" s="432"/>
      <c r="H13" s="434"/>
      <c r="I13" s="432"/>
      <c r="J13" s="434"/>
      <c r="K13" s="432"/>
      <c r="L13" s="434"/>
      <c r="M13" s="432"/>
      <c r="N13" s="434"/>
      <c r="O13" s="432"/>
      <c r="P13" s="434"/>
      <c r="Q13" s="432"/>
      <c r="R13" s="434"/>
      <c r="S13" s="432"/>
      <c r="T13" s="434"/>
      <c r="U13" s="432"/>
      <c r="V13" s="434"/>
      <c r="W13" s="432"/>
      <c r="X13" s="434"/>
      <c r="Y13" s="432"/>
      <c r="Z13" s="434"/>
      <c r="AA13" s="11"/>
      <c r="AB13"/>
      <c r="AD13"/>
    </row>
    <row r="14" spans="1:30" ht="21">
      <c r="A14" s="438" t="s">
        <v>6906</v>
      </c>
      <c r="B14" s="425"/>
      <c r="C14" s="439"/>
      <c r="D14" s="425"/>
      <c r="E14" s="439"/>
      <c r="F14" s="425"/>
      <c r="G14" s="425"/>
      <c r="H14" s="425"/>
      <c r="I14" s="425"/>
      <c r="J14" s="425"/>
      <c r="K14" s="425"/>
      <c r="L14" s="425"/>
      <c r="M14" s="425"/>
      <c r="N14" s="425"/>
      <c r="O14" s="425"/>
      <c r="P14" s="425"/>
      <c r="Q14" s="425"/>
      <c r="R14" s="425"/>
      <c r="S14" s="425"/>
      <c r="T14" s="425"/>
      <c r="U14" s="425"/>
      <c r="V14" s="425"/>
      <c r="W14" s="425"/>
      <c r="X14" s="425"/>
      <c r="Y14" s="425"/>
      <c r="Z14" s="425"/>
      <c r="AA14" s="11"/>
      <c r="AB14"/>
      <c r="AD14"/>
    </row>
    <row r="15" spans="1:30">
      <c r="A15" s="460"/>
      <c r="B15" s="460"/>
      <c r="C15" s="460"/>
      <c r="D15" s="460"/>
      <c r="E15" s="405"/>
      <c r="F15" s="405"/>
      <c r="G15" s="405"/>
      <c r="H15" s="405"/>
      <c r="I15" s="405"/>
      <c r="K15" s="405"/>
    </row>
    <row r="16" spans="1:30" ht="21">
      <c r="A16" s="23" t="s">
        <v>6915</v>
      </c>
      <c r="B16" s="474" t="s">
        <v>6917</v>
      </c>
      <c r="C16" s="460"/>
      <c r="D16" s="460"/>
      <c r="E16" s="405"/>
      <c r="F16" s="405"/>
      <c r="G16" s="405"/>
      <c r="H16" s="405"/>
      <c r="I16" s="405"/>
      <c r="K16" s="405"/>
    </row>
    <row r="17" spans="1:21">
      <c r="A17" s="460"/>
      <c r="B17" s="460"/>
      <c r="C17" s="460"/>
      <c r="D17" s="460"/>
      <c r="E17" s="405"/>
      <c r="F17" s="405"/>
      <c r="K17" s="405" t="s">
        <v>6935</v>
      </c>
      <c r="L17" s="405">
        <v>14</v>
      </c>
      <c r="S17">
        <v>15584</v>
      </c>
    </row>
    <row r="18" spans="1:21">
      <c r="A18" s="502"/>
      <c r="B18" s="251" t="s">
        <v>4163</v>
      </c>
      <c r="C18" s="251" t="s">
        <v>6904</v>
      </c>
      <c r="D18" s="251" t="s">
        <v>6927</v>
      </c>
      <c r="E18" s="251" t="s">
        <v>840</v>
      </c>
      <c r="F18" s="405"/>
      <c r="K18" s="405" t="s">
        <v>6936</v>
      </c>
      <c r="L18" s="405">
        <v>31</v>
      </c>
      <c r="S18">
        <v>7772</v>
      </c>
    </row>
    <row r="19" spans="1:21">
      <c r="A19" s="358" t="s">
        <v>6945</v>
      </c>
      <c r="B19" s="361">
        <v>424</v>
      </c>
      <c r="C19" s="361">
        <v>400</v>
      </c>
      <c r="D19" s="361">
        <v>60</v>
      </c>
      <c r="E19" s="479">
        <f t="shared" ref="E19:E26" si="25">C19/(B19-D19)-1</f>
        <v>9.8901098901098994E-2</v>
      </c>
      <c r="F19" s="405"/>
      <c r="G19" s="405"/>
      <c r="H19" s="405" t="s">
        <v>25</v>
      </c>
      <c r="I19" s="405" t="s">
        <v>25</v>
      </c>
      <c r="K19" s="500" t="s">
        <v>6937</v>
      </c>
      <c r="L19" s="405">
        <v>31</v>
      </c>
      <c r="S19">
        <f>S17+S18</f>
        <v>23356</v>
      </c>
    </row>
    <row r="20" spans="1:21">
      <c r="A20" s="358" t="s">
        <v>5595</v>
      </c>
      <c r="B20" s="358">
        <v>152</v>
      </c>
      <c r="C20" s="358">
        <v>180</v>
      </c>
      <c r="D20" s="548">
        <v>28</v>
      </c>
      <c r="E20" s="479">
        <f>C20/(B20-D20)-1</f>
        <v>0.45161290322580649</v>
      </c>
      <c r="F20" s="405">
        <f>E20/4.42</f>
        <v>0.10217486498321414</v>
      </c>
      <c r="G20" s="405"/>
      <c r="H20" s="405"/>
      <c r="I20" s="405"/>
      <c r="K20" s="405" t="s">
        <v>6938</v>
      </c>
      <c r="L20" s="405">
        <v>4</v>
      </c>
      <c r="T20" s="405">
        <v>50</v>
      </c>
      <c r="U20">
        <v>1220</v>
      </c>
    </row>
    <row r="21" spans="1:21">
      <c r="A21" s="358" t="s">
        <v>4405</v>
      </c>
      <c r="B21" s="358">
        <v>794</v>
      </c>
      <c r="C21" s="358">
        <v>466</v>
      </c>
      <c r="D21" s="358">
        <v>380</v>
      </c>
      <c r="E21" s="479">
        <f t="shared" si="25"/>
        <v>0.12560386473429941</v>
      </c>
      <c r="F21" s="405">
        <f>E21/5.5</f>
        <v>2.2837066315327167E-2</v>
      </c>
      <c r="G21" s="405"/>
      <c r="H21" s="405"/>
      <c r="I21" s="405"/>
      <c r="K21" s="405" t="s">
        <v>4780</v>
      </c>
      <c r="L21" s="405">
        <f>SUM(L17:L20)</f>
        <v>80</v>
      </c>
      <c r="T21" s="405">
        <v>770</v>
      </c>
      <c r="U21">
        <v>2017</v>
      </c>
    </row>
    <row r="22" spans="1:21">
      <c r="A22" s="358" t="s">
        <v>6942</v>
      </c>
      <c r="B22" s="358">
        <v>913</v>
      </c>
      <c r="C22" s="358">
        <v>585</v>
      </c>
      <c r="D22" s="358">
        <v>321</v>
      </c>
      <c r="E22" s="479">
        <f t="shared" si="25"/>
        <v>-1.1824324324324342E-2</v>
      </c>
      <c r="F22" s="405"/>
      <c r="G22" s="405"/>
      <c r="H22" s="405"/>
      <c r="I22" s="405"/>
      <c r="K22" s="405" t="s">
        <v>6939</v>
      </c>
      <c r="L22" s="405">
        <f>L21/31</f>
        <v>2.5806451612903225</v>
      </c>
      <c r="M22">
        <v>21</v>
      </c>
      <c r="N22" s="405" t="s">
        <v>190</v>
      </c>
      <c r="T22" s="405">
        <v>1977</v>
      </c>
      <c r="U22">
        <v>2018</v>
      </c>
    </row>
    <row r="23" spans="1:21">
      <c r="A23" s="358" t="s">
        <v>5597</v>
      </c>
      <c r="B23" s="358">
        <v>407</v>
      </c>
      <c r="C23" s="358">
        <v>400</v>
      </c>
      <c r="D23" s="358">
        <v>17.2</v>
      </c>
      <c r="E23" s="479">
        <f t="shared" si="25"/>
        <v>2.616726526423796E-2</v>
      </c>
      <c r="F23" s="405"/>
      <c r="G23" s="405"/>
      <c r="H23" s="405" t="s">
        <v>25</v>
      </c>
      <c r="I23" s="405"/>
      <c r="K23" s="405" t="s">
        <v>25</v>
      </c>
      <c r="L23" s="405">
        <f>M22/L22</f>
        <v>8.1375000000000011</v>
      </c>
      <c r="M23" t="s">
        <v>25</v>
      </c>
      <c r="T23" s="405">
        <v>2180</v>
      </c>
      <c r="U23">
        <v>3010</v>
      </c>
    </row>
    <row r="24" spans="1:21">
      <c r="A24" s="358" t="s">
        <v>6946</v>
      </c>
      <c r="B24" s="358">
        <v>2860</v>
      </c>
      <c r="C24" s="358">
        <v>2800</v>
      </c>
      <c r="D24" s="358">
        <v>900</v>
      </c>
      <c r="E24" s="479">
        <f t="shared" si="25"/>
        <v>0.4285714285714286</v>
      </c>
      <c r="F24" s="405"/>
      <c r="G24" s="405"/>
      <c r="H24" s="405"/>
      <c r="I24" s="405"/>
      <c r="K24" s="405" t="s">
        <v>25</v>
      </c>
      <c r="T24" s="405">
        <v>160</v>
      </c>
      <c r="U24">
        <v>4007</v>
      </c>
    </row>
    <row r="25" spans="1:21">
      <c r="A25" s="358" t="s">
        <v>6947</v>
      </c>
      <c r="B25" s="358">
        <v>2117</v>
      </c>
      <c r="C25" s="358">
        <v>2800</v>
      </c>
      <c r="D25" s="358">
        <v>350</v>
      </c>
      <c r="E25" s="479">
        <f t="shared" si="25"/>
        <v>0.58460667798528587</v>
      </c>
      <c r="F25" s="405"/>
      <c r="G25" s="405"/>
      <c r="H25" s="405"/>
      <c r="I25" s="405"/>
      <c r="K25" s="405"/>
      <c r="T25" s="405">
        <v>2406</v>
      </c>
      <c r="U25">
        <v>4011</v>
      </c>
    </row>
    <row r="26" spans="1:21">
      <c r="A26" s="358" t="s">
        <v>6940</v>
      </c>
      <c r="B26" s="358">
        <v>1415</v>
      </c>
      <c r="C26" s="358">
        <v>1300</v>
      </c>
      <c r="D26" s="358">
        <v>400</v>
      </c>
      <c r="E26" s="479">
        <f t="shared" si="25"/>
        <v>0.28078817733990147</v>
      </c>
      <c r="F26" s="405"/>
      <c r="G26" s="405"/>
      <c r="H26" s="405"/>
      <c r="I26" s="405"/>
      <c r="K26" s="405"/>
      <c r="S26">
        <f>S18-T26</f>
        <v>229</v>
      </c>
      <c r="T26" s="405">
        <f>SUM(T20:T25)</f>
        <v>7543</v>
      </c>
    </row>
    <row r="27" spans="1:21">
      <c r="A27" s="358" t="s">
        <v>6955</v>
      </c>
      <c r="B27" s="358">
        <v>604</v>
      </c>
      <c r="C27" s="358">
        <v>600</v>
      </c>
      <c r="D27" s="358">
        <v>110</v>
      </c>
      <c r="E27" s="479">
        <f t="shared" ref="E27" si="26">C27/(B27-D27)-1</f>
        <v>0.21457489878542502</v>
      </c>
      <c r="S27">
        <f>S19-T26</f>
        <v>15813</v>
      </c>
    </row>
    <row r="28" spans="1:21">
      <c r="A28" s="358" t="s">
        <v>6505</v>
      </c>
      <c r="B28" s="358">
        <v>630</v>
      </c>
      <c r="C28" s="358">
        <v>497</v>
      </c>
      <c r="D28" s="358">
        <v>220</v>
      </c>
      <c r="E28" s="479">
        <f t="shared" ref="E28" si="27">C28/(B28-D28)-1</f>
        <v>0.21219512195121948</v>
      </c>
    </row>
    <row r="29" spans="1:21">
      <c r="A29" s="358" t="s">
        <v>6914</v>
      </c>
      <c r="B29" s="358">
        <v>18600</v>
      </c>
      <c r="C29" s="358">
        <v>20000</v>
      </c>
      <c r="D29" s="358">
        <v>600</v>
      </c>
      <c r="E29" s="479">
        <f t="shared" ref="E29" si="28">C29/(B29-D29)-1</f>
        <v>0.11111111111111116</v>
      </c>
    </row>
    <row r="30" spans="1:21">
      <c r="A30" s="358" t="s">
        <v>7002</v>
      </c>
      <c r="B30" s="358">
        <v>3213</v>
      </c>
      <c r="C30" s="358">
        <v>3000</v>
      </c>
      <c r="D30" s="358">
        <v>500</v>
      </c>
      <c r="E30" s="479">
        <f t="shared" ref="E30" si="29">C30/(B30-D30)-1</f>
        <v>0.10578695171396979</v>
      </c>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3"/>
  <sheetViews>
    <sheetView workbookViewId="0">
      <selection activeCell="J7" sqref="J7"/>
    </sheetView>
  </sheetViews>
  <sheetFormatPr defaultRowHeight="15"/>
  <cols>
    <col min="1" max="1" width="7.85546875" style="460" customWidth="1"/>
    <col min="2" max="2" width="9.85546875" style="460" customWidth="1"/>
    <col min="3" max="4" width="16.85546875" style="460" bestFit="1" customWidth="1"/>
    <col min="5" max="5" width="16.42578125" style="460" bestFit="1" customWidth="1"/>
    <col min="6" max="6" width="13.5703125" style="460" bestFit="1" customWidth="1"/>
    <col min="7" max="7" width="12.85546875" style="460" bestFit="1" customWidth="1"/>
    <col min="8" max="8" width="10.7109375" style="460" customWidth="1"/>
    <col min="9" max="9" width="11.28515625" style="460" bestFit="1" customWidth="1"/>
    <col min="10" max="10" width="11.28515625" style="460" customWidth="1"/>
    <col min="11" max="11" width="8.85546875" style="460" customWidth="1"/>
    <col min="12" max="17" width="11.28515625" style="460" customWidth="1"/>
    <col min="18" max="18" width="9.7109375" style="460" customWidth="1"/>
    <col min="19" max="19" width="11.28515625" style="460" customWidth="1"/>
    <col min="20" max="20" width="8.85546875" style="460" bestFit="1" customWidth="1"/>
    <col min="21" max="21" width="11.28515625" style="460" bestFit="1" customWidth="1"/>
    <col min="22" max="23" width="10.42578125" style="460" bestFit="1" customWidth="1"/>
    <col min="24" max="24" width="10.85546875" style="460" customWidth="1"/>
    <col min="25" max="32" width="10.42578125" style="460" bestFit="1" customWidth="1"/>
    <col min="33" max="16384" width="9.140625" style="460"/>
  </cols>
  <sheetData>
    <row r="1" spans="1:34" ht="105">
      <c r="A1" s="408" t="s">
        <v>6910</v>
      </c>
      <c r="B1" s="408" t="s">
        <v>6905</v>
      </c>
      <c r="C1" s="408" t="s">
        <v>6904</v>
      </c>
      <c r="D1" s="435" t="s">
        <v>6907</v>
      </c>
      <c r="E1" s="436" t="s">
        <v>840</v>
      </c>
      <c r="F1" s="408" t="s">
        <v>190</v>
      </c>
      <c r="G1" s="436" t="s">
        <v>1046</v>
      </c>
      <c r="H1" s="435" t="s">
        <v>6908</v>
      </c>
      <c r="I1" s="408">
        <v>15000</v>
      </c>
      <c r="J1" s="436"/>
      <c r="K1" s="408">
        <v>700</v>
      </c>
      <c r="L1" s="408"/>
      <c r="M1" s="408">
        <v>800</v>
      </c>
      <c r="N1" s="408"/>
      <c r="O1" s="408">
        <v>900</v>
      </c>
      <c r="P1" s="408"/>
      <c r="Q1" s="408">
        <v>1000</v>
      </c>
      <c r="R1" s="408"/>
      <c r="S1" s="408">
        <v>1100</v>
      </c>
      <c r="T1" s="408"/>
      <c r="U1" s="408">
        <v>1200</v>
      </c>
      <c r="V1" s="408"/>
      <c r="W1" s="408">
        <v>1300</v>
      </c>
      <c r="X1" s="408"/>
      <c r="Y1" s="408">
        <v>1400</v>
      </c>
      <c r="Z1" s="408"/>
      <c r="AA1" s="408">
        <v>1500</v>
      </c>
      <c r="AB1" s="408"/>
      <c r="AC1" s="408">
        <v>1600</v>
      </c>
      <c r="AD1" s="408"/>
      <c r="AE1" s="408">
        <v>1700</v>
      </c>
      <c r="AF1" s="11"/>
    </row>
    <row r="2" spans="1:34" ht="21">
      <c r="A2" s="409">
        <f>(B2/$B$13)+(B2*B2)/($B$13*$B$13)+(B2*B2*B2)/($B$13*$B$13*$B$13)</f>
        <v>0.90500828646795672</v>
      </c>
      <c r="B2" s="409">
        <v>9100</v>
      </c>
      <c r="C2" s="410">
        <v>9000</v>
      </c>
      <c r="D2" s="409">
        <f t="shared" ref="D2:D12" si="0">C2+B2</f>
        <v>18100</v>
      </c>
      <c r="E2" s="451">
        <f t="shared" ref="E2:E12" si="1">D2-$B$13</f>
        <v>285</v>
      </c>
      <c r="F2" s="411">
        <f t="shared" ref="F2:F12" si="2">E2/$B$13</f>
        <v>1.5997754701094585E-2</v>
      </c>
      <c r="G2" s="441">
        <v>216</v>
      </c>
      <c r="H2" s="409">
        <f>B2-G2</f>
        <v>8884</v>
      </c>
      <c r="I2" s="440">
        <f>B2+$I$1</f>
        <v>24100</v>
      </c>
      <c r="J2" s="437">
        <f>(1+A2)*(I2-$B$13)/$B$13</f>
        <v>0.67207280833292782</v>
      </c>
      <c r="K2" s="440">
        <f>B2+$K$1</f>
        <v>9800</v>
      </c>
      <c r="L2" s="437">
        <f>(1+A2)*(K2-$B$13)/$B$13</f>
        <v>-0.8570665964659373</v>
      </c>
      <c r="M2" s="441">
        <f t="shared" ref="M2:AC11" si="3">$D2</f>
        <v>18100</v>
      </c>
      <c r="N2" s="437">
        <f>(1+A2)*(M2-$B$13)/$B$13</f>
        <v>3.0475855270466892E-2</v>
      </c>
      <c r="O2" s="441">
        <f t="shared" si="3"/>
        <v>18100</v>
      </c>
      <c r="P2" s="437">
        <f>(1+A2)*(O2-$B$13)/$B$13</f>
        <v>3.0475855270466892E-2</v>
      </c>
      <c r="Q2" s="441">
        <f t="shared" si="3"/>
        <v>18100</v>
      </c>
      <c r="R2" s="437">
        <f>(1+A2)*(Q2-$B$13)/$B$13</f>
        <v>3.0475855270466892E-2</v>
      </c>
      <c r="S2" s="441">
        <f t="shared" si="3"/>
        <v>18100</v>
      </c>
      <c r="T2" s="437">
        <f>(1+A2)*(S2-$B$13)/$B$13</f>
        <v>3.0475855270466892E-2</v>
      </c>
      <c r="U2" s="441">
        <f t="shared" si="3"/>
        <v>18100</v>
      </c>
      <c r="V2" s="437">
        <f>(1+A2)*(U2-$B$13)/$B$13</f>
        <v>3.0475855270466892E-2</v>
      </c>
      <c r="W2" s="441">
        <f t="shared" si="3"/>
        <v>18100</v>
      </c>
      <c r="X2" s="437">
        <f>(1+A2)*(W2-$B$13)/$B$13</f>
        <v>3.0475855270466892E-2</v>
      </c>
      <c r="Y2" s="441">
        <f t="shared" si="3"/>
        <v>18100</v>
      </c>
      <c r="Z2" s="437">
        <f>(1+A2)*(Y2-$B$13)/$B$13</f>
        <v>3.0475855270466892E-2</v>
      </c>
      <c r="AA2" s="441">
        <f t="shared" si="3"/>
        <v>18100</v>
      </c>
      <c r="AB2" s="437">
        <f>(1+A2)*(AA2-$B$13)/$B$13</f>
        <v>3.0475855270466892E-2</v>
      </c>
      <c r="AC2" s="441">
        <f t="shared" si="3"/>
        <v>18100</v>
      </c>
      <c r="AD2" s="437">
        <f>(1+A2)*(AC2-$B$13)/$B$13</f>
        <v>3.0475855270466892E-2</v>
      </c>
      <c r="AE2" s="441">
        <f>$D2</f>
        <v>18100</v>
      </c>
      <c r="AF2" s="437">
        <f>(1+A2)*(AE2-$B$13)/$B$13</f>
        <v>3.0475855270466892E-2</v>
      </c>
    </row>
    <row r="3" spans="1:34" ht="21">
      <c r="A3" s="409">
        <f t="shared" ref="A3:A12" si="4">(B3/$B$13)+(B3*B3)/($B$13*$B$13)+(B3*B3*B3)/($B$13*$B$13*$B$13)</f>
        <v>1.0532754278814531</v>
      </c>
      <c r="B3" s="407">
        <v>10000</v>
      </c>
      <c r="C3" s="412">
        <v>10000</v>
      </c>
      <c r="D3" s="407">
        <f t="shared" si="0"/>
        <v>20000</v>
      </c>
      <c r="E3" s="452">
        <f t="shared" si="1"/>
        <v>2185</v>
      </c>
      <c r="F3" s="413">
        <f t="shared" si="2"/>
        <v>0.12264945270839181</v>
      </c>
      <c r="G3" s="446">
        <v>216</v>
      </c>
      <c r="H3" s="407">
        <f t="shared" ref="H3:H12" si="5">B3-G3</f>
        <v>9784</v>
      </c>
      <c r="I3" s="440">
        <f t="shared" ref="I3:I12" si="6">B3+$I$1</f>
        <v>25000</v>
      </c>
      <c r="J3" s="437">
        <f t="shared" ref="J3:J12" si="7">(1+A3)*(I3-$B$13)/$B$13</f>
        <v>0.82811024133192479</v>
      </c>
      <c r="K3" s="440">
        <f t="shared" ref="K3:K12" si="8">B3+$K$1</f>
        <v>10700</v>
      </c>
      <c r="L3" s="437">
        <f t="shared" ref="L3:L12" si="9">(1+A3)*(K3-$B$13)/$B$13</f>
        <v>-0.82004236145812737</v>
      </c>
      <c r="M3" s="441">
        <f t="shared" si="3"/>
        <v>20000</v>
      </c>
      <c r="N3" s="437">
        <f t="shared" ref="N3:N12" si="10">(1+A3)*(M3-$B$13)/$B$13</f>
        <v>0.25183310748924925</v>
      </c>
      <c r="O3" s="441">
        <f t="shared" si="3"/>
        <v>20000</v>
      </c>
      <c r="P3" s="437">
        <f t="shared" ref="P3:P12" si="11">(1+A3)*(O3-$B$13)/$B$13</f>
        <v>0.25183310748924925</v>
      </c>
      <c r="Q3" s="441">
        <f t="shared" si="3"/>
        <v>20000</v>
      </c>
      <c r="R3" s="437">
        <f t="shared" ref="R3:R12" si="12">(1+A3)*(Q3-$B$13)/$B$13</f>
        <v>0.25183310748924925</v>
      </c>
      <c r="S3" s="441">
        <f t="shared" si="3"/>
        <v>20000</v>
      </c>
      <c r="T3" s="437">
        <f t="shared" ref="T3:T12" si="13">(1+A3)*(S3-$B$13)/$B$13</f>
        <v>0.25183310748924925</v>
      </c>
      <c r="U3" s="441">
        <f t="shared" si="3"/>
        <v>20000</v>
      </c>
      <c r="V3" s="437">
        <f t="shared" ref="V3:V12" si="14">(1+A3)*(U3-$B$13)/$B$13</f>
        <v>0.25183310748924925</v>
      </c>
      <c r="W3" s="441">
        <f t="shared" si="3"/>
        <v>20000</v>
      </c>
      <c r="X3" s="437">
        <f t="shared" ref="X3:X12" si="15">(1+A3)*(W3-$B$13)/$B$13</f>
        <v>0.25183310748924925</v>
      </c>
      <c r="Y3" s="441">
        <f t="shared" si="3"/>
        <v>20000</v>
      </c>
      <c r="Z3" s="437">
        <f t="shared" ref="Z3:Z12" si="16">(1+A3)*(Y3-$B$13)/$B$13</f>
        <v>0.25183310748924925</v>
      </c>
      <c r="AA3" s="441">
        <f t="shared" si="3"/>
        <v>20000</v>
      </c>
      <c r="AB3" s="437">
        <f t="shared" ref="AB3:AB12" si="17">(1+A3)*(AA3-$B$13)/$B$13</f>
        <v>0.25183310748924925</v>
      </c>
      <c r="AC3" s="441">
        <f t="shared" si="3"/>
        <v>20000</v>
      </c>
      <c r="AD3" s="437">
        <f t="shared" ref="AD3:AD12" si="18">(1+A3)*(AC3-$B$13)/$B$13</f>
        <v>0.25183310748924925</v>
      </c>
      <c r="AE3" s="441">
        <f t="shared" ref="AE3:AE12" si="19">$D3</f>
        <v>20000</v>
      </c>
      <c r="AF3" s="437">
        <f t="shared" ref="AF3:AF12" si="20">(1+A3)*(AE3-$B$13)/$B$13</f>
        <v>0.25183310748924925</v>
      </c>
    </row>
    <row r="4" spans="1:34" ht="21">
      <c r="A4" s="409">
        <f t="shared" si="4"/>
        <v>1.0532754278814531</v>
      </c>
      <c r="B4" s="406">
        <v>10000</v>
      </c>
      <c r="C4" s="420">
        <v>11000</v>
      </c>
      <c r="D4" s="406">
        <f t="shared" si="0"/>
        <v>21000</v>
      </c>
      <c r="E4" s="453">
        <f t="shared" si="1"/>
        <v>3185</v>
      </c>
      <c r="F4" s="421">
        <f t="shared" si="2"/>
        <v>0.1787819253438114</v>
      </c>
      <c r="G4" s="241">
        <v>216</v>
      </c>
      <c r="H4" s="406">
        <f t="shared" si="5"/>
        <v>9784</v>
      </c>
      <c r="I4" s="440">
        <f t="shared" si="6"/>
        <v>25000</v>
      </c>
      <c r="J4" s="437">
        <f t="shared" si="7"/>
        <v>0.82811024133192479</v>
      </c>
      <c r="K4" s="440">
        <f t="shared" si="8"/>
        <v>10700</v>
      </c>
      <c r="L4" s="437">
        <f t="shared" si="9"/>
        <v>-0.82004236145812737</v>
      </c>
      <c r="M4" s="440">
        <f>B4+$M$1</f>
        <v>10800</v>
      </c>
      <c r="N4" s="437">
        <f t="shared" si="10"/>
        <v>-0.8085168187812739</v>
      </c>
      <c r="O4" s="441">
        <f t="shared" si="3"/>
        <v>21000</v>
      </c>
      <c r="P4" s="437">
        <f t="shared" si="11"/>
        <v>0.36708853425778432</v>
      </c>
      <c r="Q4" s="441">
        <f t="shared" si="3"/>
        <v>21000</v>
      </c>
      <c r="R4" s="437">
        <f t="shared" si="12"/>
        <v>0.36708853425778432</v>
      </c>
      <c r="S4" s="441">
        <f t="shared" si="3"/>
        <v>21000</v>
      </c>
      <c r="T4" s="437">
        <f t="shared" si="13"/>
        <v>0.36708853425778432</v>
      </c>
      <c r="U4" s="441">
        <f t="shared" si="3"/>
        <v>21000</v>
      </c>
      <c r="V4" s="437">
        <f t="shared" si="14"/>
        <v>0.36708853425778432</v>
      </c>
      <c r="W4" s="441">
        <f t="shared" si="3"/>
        <v>21000</v>
      </c>
      <c r="X4" s="437">
        <f t="shared" si="15"/>
        <v>0.36708853425778432</v>
      </c>
      <c r="Y4" s="441">
        <f t="shared" si="3"/>
        <v>21000</v>
      </c>
      <c r="Z4" s="437">
        <f t="shared" si="16"/>
        <v>0.36708853425778432</v>
      </c>
      <c r="AA4" s="441">
        <f t="shared" si="3"/>
        <v>21000</v>
      </c>
      <c r="AB4" s="437">
        <f t="shared" si="17"/>
        <v>0.36708853425778432</v>
      </c>
      <c r="AC4" s="441">
        <f t="shared" si="3"/>
        <v>21000</v>
      </c>
      <c r="AD4" s="437">
        <f t="shared" si="18"/>
        <v>0.36708853425778432</v>
      </c>
      <c r="AE4" s="441">
        <f t="shared" si="19"/>
        <v>21000</v>
      </c>
      <c r="AF4" s="437">
        <f t="shared" si="20"/>
        <v>0.36708853425778432</v>
      </c>
    </row>
    <row r="5" spans="1:34" ht="21">
      <c r="A5" s="409">
        <f t="shared" si="4"/>
        <v>1.6547717493048168E-2</v>
      </c>
      <c r="B5" s="417">
        <v>290</v>
      </c>
      <c r="C5" s="418">
        <v>900</v>
      </c>
      <c r="D5" s="417">
        <f t="shared" si="0"/>
        <v>1190</v>
      </c>
      <c r="E5" s="454">
        <f t="shared" si="1"/>
        <v>-16625</v>
      </c>
      <c r="F5" s="419">
        <f t="shared" si="2"/>
        <v>-0.93320235756385073</v>
      </c>
      <c r="G5" s="447">
        <v>216</v>
      </c>
      <c r="H5" s="417">
        <f t="shared" si="5"/>
        <v>74</v>
      </c>
      <c r="I5" s="440">
        <f t="shared" si="6"/>
        <v>15290</v>
      </c>
      <c r="J5" s="437">
        <f t="shared" si="7"/>
        <v>-0.14407987576031134</v>
      </c>
      <c r="K5" s="440">
        <f>B5+$K$1</f>
        <v>990</v>
      </c>
      <c r="L5" s="437">
        <f t="shared" si="9"/>
        <v>-0.96005699392761923</v>
      </c>
      <c r="M5" s="440">
        <f t="shared" ref="M5:M12" si="21">B5+$M$1</f>
        <v>1090</v>
      </c>
      <c r="N5" s="437">
        <f t="shared" si="10"/>
        <v>-0.95435086023414151</v>
      </c>
      <c r="O5" s="440">
        <f>B5+$O$1</f>
        <v>1190</v>
      </c>
      <c r="P5" s="437">
        <f t="shared" si="11"/>
        <v>-0.9486447265406639</v>
      </c>
      <c r="Q5" s="441">
        <f t="shared" si="3"/>
        <v>1190</v>
      </c>
      <c r="R5" s="437">
        <f t="shared" si="12"/>
        <v>-0.9486447265406639</v>
      </c>
      <c r="S5" s="441">
        <f t="shared" si="3"/>
        <v>1190</v>
      </c>
      <c r="T5" s="437">
        <f t="shared" si="13"/>
        <v>-0.9486447265406639</v>
      </c>
      <c r="U5" s="441">
        <f t="shared" si="3"/>
        <v>1190</v>
      </c>
      <c r="V5" s="437">
        <f>(1+A5)*(U5-$B$13)/$B$13</f>
        <v>-0.9486447265406639</v>
      </c>
      <c r="W5" s="441">
        <f t="shared" si="3"/>
        <v>1190</v>
      </c>
      <c r="X5" s="437">
        <f t="shared" si="15"/>
        <v>-0.9486447265406639</v>
      </c>
      <c r="Y5" s="441">
        <f t="shared" si="3"/>
        <v>1190</v>
      </c>
      <c r="Z5" s="437">
        <f t="shared" si="16"/>
        <v>-0.9486447265406639</v>
      </c>
      <c r="AA5" s="441">
        <f t="shared" si="3"/>
        <v>1190</v>
      </c>
      <c r="AB5" s="437">
        <f t="shared" si="17"/>
        <v>-0.9486447265406639</v>
      </c>
      <c r="AC5" s="441">
        <f t="shared" si="3"/>
        <v>1190</v>
      </c>
      <c r="AD5" s="437">
        <f t="shared" si="18"/>
        <v>-0.9486447265406639</v>
      </c>
      <c r="AE5" s="441">
        <f t="shared" si="19"/>
        <v>1190</v>
      </c>
      <c r="AF5" s="437">
        <f t="shared" si="20"/>
        <v>-0.9486447265406639</v>
      </c>
    </row>
    <row r="6" spans="1:34" ht="21">
      <c r="A6" s="409">
        <f t="shared" si="4"/>
        <v>1.261863072868461E-2</v>
      </c>
      <c r="B6" s="414">
        <v>222</v>
      </c>
      <c r="C6" s="415">
        <v>1000</v>
      </c>
      <c r="D6" s="414">
        <f t="shared" si="0"/>
        <v>1222</v>
      </c>
      <c r="E6" s="455">
        <f t="shared" si="1"/>
        <v>-16593</v>
      </c>
      <c r="F6" s="416">
        <f t="shared" si="2"/>
        <v>-0.93140611843951726</v>
      </c>
      <c r="G6" s="239">
        <v>216</v>
      </c>
      <c r="H6" s="414">
        <f t="shared" si="5"/>
        <v>6</v>
      </c>
      <c r="I6" s="440">
        <f>B6+$I$1</f>
        <v>15222</v>
      </c>
      <c r="J6" s="437">
        <f t="shared" si="7"/>
        <v>-0.1473881621936278</v>
      </c>
      <c r="K6" s="440">
        <f t="shared" si="8"/>
        <v>922</v>
      </c>
      <c r="L6" s="437">
        <f t="shared" si="9"/>
        <v>-0.96021142458039122</v>
      </c>
      <c r="M6" s="440">
        <f t="shared" si="21"/>
        <v>1022</v>
      </c>
      <c r="N6" s="437">
        <f t="shared" si="10"/>
        <v>-0.95452734582244181</v>
      </c>
      <c r="O6" s="440">
        <f t="shared" ref="O6:O12" si="22">B6+$O$1</f>
        <v>1122</v>
      </c>
      <c r="P6" s="437">
        <f t="shared" si="11"/>
        <v>-0.94884326706449251</v>
      </c>
      <c r="Q6" s="440">
        <f>B6+$Q$1</f>
        <v>1222</v>
      </c>
      <c r="R6" s="437">
        <f t="shared" si="12"/>
        <v>-0.94315918830654311</v>
      </c>
      <c r="S6" s="441">
        <f t="shared" si="3"/>
        <v>1222</v>
      </c>
      <c r="T6" s="437">
        <f t="shared" si="13"/>
        <v>-0.94315918830654311</v>
      </c>
      <c r="U6" s="441">
        <f t="shared" si="3"/>
        <v>1222</v>
      </c>
      <c r="V6" s="437">
        <f t="shared" si="14"/>
        <v>-0.94315918830654311</v>
      </c>
      <c r="W6" s="441">
        <f t="shared" si="3"/>
        <v>1222</v>
      </c>
      <c r="X6" s="437">
        <f t="shared" si="15"/>
        <v>-0.94315918830654311</v>
      </c>
      <c r="Y6" s="441">
        <f t="shared" si="3"/>
        <v>1222</v>
      </c>
      <c r="Z6" s="437">
        <f t="shared" si="16"/>
        <v>-0.94315918830654311</v>
      </c>
      <c r="AA6" s="441">
        <f t="shared" si="3"/>
        <v>1222</v>
      </c>
      <c r="AB6" s="437">
        <f t="shared" si="17"/>
        <v>-0.94315918830654311</v>
      </c>
      <c r="AC6" s="441">
        <f t="shared" si="3"/>
        <v>1222</v>
      </c>
      <c r="AD6" s="437">
        <f t="shared" si="18"/>
        <v>-0.94315918830654311</v>
      </c>
      <c r="AE6" s="441">
        <f t="shared" si="19"/>
        <v>1222</v>
      </c>
      <c r="AF6" s="437">
        <f t="shared" si="20"/>
        <v>-0.94315918830654311</v>
      </c>
    </row>
    <row r="7" spans="1:34" ht="21">
      <c r="A7" s="409">
        <f t="shared" si="4"/>
        <v>8.7768911615665555E-3</v>
      </c>
      <c r="B7" s="426">
        <v>155</v>
      </c>
      <c r="C7" s="427">
        <v>1100</v>
      </c>
      <c r="D7" s="426">
        <f t="shared" si="0"/>
        <v>1255</v>
      </c>
      <c r="E7" s="456">
        <f t="shared" si="1"/>
        <v>-16560</v>
      </c>
      <c r="F7" s="428">
        <f t="shared" si="2"/>
        <v>-0.92955374684254843</v>
      </c>
      <c r="G7" s="448">
        <v>194</v>
      </c>
      <c r="H7" s="426">
        <f t="shared" si="5"/>
        <v>-39</v>
      </c>
      <c r="I7" s="440">
        <f t="shared" ref="I7:I8" si="23">B7+$I$1</f>
        <v>15155</v>
      </c>
      <c r="J7" s="437">
        <f t="shared" si="7"/>
        <v>-0.15062287569406496</v>
      </c>
      <c r="K7" s="440">
        <f t="shared" si="8"/>
        <v>855</v>
      </c>
      <c r="L7" s="437">
        <f t="shared" si="9"/>
        <v>-0.96036239540276014</v>
      </c>
      <c r="M7" s="440">
        <f t="shared" si="21"/>
        <v>955</v>
      </c>
      <c r="N7" s="437">
        <f t="shared" si="10"/>
        <v>-0.95469988127892302</v>
      </c>
      <c r="O7" s="440">
        <f t="shared" si="22"/>
        <v>1055</v>
      </c>
      <c r="P7" s="437">
        <f t="shared" si="11"/>
        <v>-0.94903736715508591</v>
      </c>
      <c r="Q7" s="440">
        <f t="shared" ref="Q7:Q12" si="24">B7+$Q$1</f>
        <v>1155</v>
      </c>
      <c r="R7" s="437">
        <f t="shared" si="12"/>
        <v>-0.94337485303124902</v>
      </c>
      <c r="S7" s="440">
        <f>B7+$S$1</f>
        <v>1255</v>
      </c>
      <c r="T7" s="437">
        <f t="shared" si="13"/>
        <v>-0.9377123389074119</v>
      </c>
      <c r="U7" s="441">
        <f t="shared" si="3"/>
        <v>1255</v>
      </c>
      <c r="V7" s="437">
        <f t="shared" si="14"/>
        <v>-0.9377123389074119</v>
      </c>
      <c r="W7" s="441">
        <f t="shared" si="3"/>
        <v>1255</v>
      </c>
      <c r="X7" s="437">
        <f t="shared" si="15"/>
        <v>-0.9377123389074119</v>
      </c>
      <c r="Y7" s="441">
        <f t="shared" si="3"/>
        <v>1255</v>
      </c>
      <c r="Z7" s="437">
        <f t="shared" si="16"/>
        <v>-0.9377123389074119</v>
      </c>
      <c r="AA7" s="441">
        <f t="shared" si="3"/>
        <v>1255</v>
      </c>
      <c r="AB7" s="437">
        <f t="shared" si="17"/>
        <v>-0.9377123389074119</v>
      </c>
      <c r="AC7" s="441">
        <f t="shared" si="3"/>
        <v>1255</v>
      </c>
      <c r="AD7" s="437">
        <f t="shared" si="18"/>
        <v>-0.9377123389074119</v>
      </c>
      <c r="AE7" s="441">
        <f t="shared" si="19"/>
        <v>1255</v>
      </c>
      <c r="AF7" s="437">
        <f t="shared" si="20"/>
        <v>-0.9377123389074119</v>
      </c>
    </row>
    <row r="8" spans="1:34" ht="21">
      <c r="A8" s="409">
        <f t="shared" si="4"/>
        <v>1.0550784974357427E-2</v>
      </c>
      <c r="B8" s="461">
        <v>186</v>
      </c>
      <c r="C8" s="462">
        <v>1200</v>
      </c>
      <c r="D8" s="461">
        <f t="shared" si="0"/>
        <v>1386</v>
      </c>
      <c r="E8" s="463">
        <f t="shared" si="1"/>
        <v>-16429</v>
      </c>
      <c r="F8" s="464">
        <f t="shared" si="2"/>
        <v>-0.92220039292730849</v>
      </c>
      <c r="G8" s="465">
        <v>121</v>
      </c>
      <c r="H8" s="461">
        <f t="shared" si="5"/>
        <v>65</v>
      </c>
      <c r="I8" s="440">
        <f t="shared" si="23"/>
        <v>15186</v>
      </c>
      <c r="J8" s="437">
        <f t="shared" si="7"/>
        <v>-0.1491292738533587</v>
      </c>
      <c r="K8" s="440">
        <f t="shared" si="8"/>
        <v>886</v>
      </c>
      <c r="L8" s="437">
        <f t="shared" si="9"/>
        <v>-0.96029268811848978</v>
      </c>
      <c r="M8" s="440">
        <f t="shared" si="21"/>
        <v>986</v>
      </c>
      <c r="N8" s="437">
        <f t="shared" si="10"/>
        <v>-0.95462021669006236</v>
      </c>
      <c r="O8" s="440">
        <f t="shared" si="22"/>
        <v>1086</v>
      </c>
      <c r="P8" s="437">
        <f t="shared" si="11"/>
        <v>-0.94894774526163483</v>
      </c>
      <c r="Q8" s="440">
        <f t="shared" si="24"/>
        <v>1186</v>
      </c>
      <c r="R8" s="437">
        <f t="shared" si="12"/>
        <v>-0.94327527383320731</v>
      </c>
      <c r="S8" s="440">
        <f t="shared" ref="S8:S12" si="25">B8+$S$1</f>
        <v>1286</v>
      </c>
      <c r="T8" s="471">
        <f t="shared" si="13"/>
        <v>-0.93760280240477978</v>
      </c>
      <c r="U8" s="440">
        <f>B8+$U$1</f>
        <v>1386</v>
      </c>
      <c r="V8" s="471">
        <f>(1+A8)*(U8-$B$13)/$B$13</f>
        <v>-0.93193033097635247</v>
      </c>
      <c r="W8" s="465">
        <f t="shared" si="3"/>
        <v>1386</v>
      </c>
      <c r="X8" s="471">
        <f t="shared" si="15"/>
        <v>-0.93193033097635247</v>
      </c>
      <c r="Y8" s="465">
        <f t="shared" si="3"/>
        <v>1386</v>
      </c>
      <c r="Z8" s="471">
        <f t="shared" si="16"/>
        <v>-0.93193033097635247</v>
      </c>
      <c r="AA8" s="465">
        <f t="shared" si="3"/>
        <v>1386</v>
      </c>
      <c r="AB8" s="471">
        <f t="shared" si="17"/>
        <v>-0.93193033097635247</v>
      </c>
      <c r="AC8" s="465">
        <f t="shared" si="3"/>
        <v>1386</v>
      </c>
      <c r="AD8" s="471">
        <f t="shared" si="18"/>
        <v>-0.93193033097635247</v>
      </c>
      <c r="AE8" s="465">
        <f t="shared" si="19"/>
        <v>1386</v>
      </c>
      <c r="AF8" s="471">
        <f t="shared" si="20"/>
        <v>-0.93193033097635247</v>
      </c>
    </row>
    <row r="9" spans="1:34" ht="21">
      <c r="A9" s="409">
        <f t="shared" si="4"/>
        <v>7.9207882351029334E-3</v>
      </c>
      <c r="B9" s="466">
        <v>140</v>
      </c>
      <c r="C9" s="467">
        <v>1300</v>
      </c>
      <c r="D9" s="466">
        <f t="shared" si="0"/>
        <v>1440</v>
      </c>
      <c r="E9" s="468">
        <f t="shared" si="1"/>
        <v>-16375</v>
      </c>
      <c r="F9" s="469">
        <f t="shared" si="2"/>
        <v>-0.91916923940499584</v>
      </c>
      <c r="G9" s="470">
        <v>131</v>
      </c>
      <c r="H9" s="466">
        <f t="shared" si="5"/>
        <v>9</v>
      </c>
      <c r="I9" s="440">
        <f t="shared" si="6"/>
        <v>15140</v>
      </c>
      <c r="J9" s="437">
        <f t="shared" si="7"/>
        <v>-0.15134370522194218</v>
      </c>
      <c r="K9" s="440">
        <f t="shared" si="8"/>
        <v>840</v>
      </c>
      <c r="L9" s="437">
        <f t="shared" si="9"/>
        <v>-0.96039603594110978</v>
      </c>
      <c r="M9" s="440">
        <f t="shared" si="21"/>
        <v>940</v>
      </c>
      <c r="N9" s="437">
        <f t="shared" si="10"/>
        <v>-0.954738327334682</v>
      </c>
      <c r="O9" s="440">
        <f t="shared" si="22"/>
        <v>1040</v>
      </c>
      <c r="P9" s="437">
        <f t="shared" si="11"/>
        <v>-0.94908061872825433</v>
      </c>
      <c r="Q9" s="440">
        <f t="shared" si="24"/>
        <v>1140</v>
      </c>
      <c r="R9" s="437">
        <f t="shared" si="12"/>
        <v>-0.94342291012182666</v>
      </c>
      <c r="S9" s="440">
        <f t="shared" si="25"/>
        <v>1240</v>
      </c>
      <c r="T9" s="472">
        <f t="shared" si="13"/>
        <v>-0.93776520151539888</v>
      </c>
      <c r="U9" s="440">
        <f t="shared" ref="U9:U12" si="26">B9+$U$1</f>
        <v>1340</v>
      </c>
      <c r="V9" s="472">
        <f t="shared" si="14"/>
        <v>-0.93210749290897099</v>
      </c>
      <c r="W9" s="440">
        <f>B9+$W$1</f>
        <v>1440</v>
      </c>
      <c r="X9" s="472">
        <f>(1+A9)*(W9-$B$13)/$B$13</f>
        <v>-0.92644978430254332</v>
      </c>
      <c r="Y9" s="470">
        <f t="shared" si="3"/>
        <v>1440</v>
      </c>
      <c r="Z9" s="472">
        <f t="shared" si="16"/>
        <v>-0.92644978430254332</v>
      </c>
      <c r="AA9" s="470">
        <f t="shared" si="3"/>
        <v>1440</v>
      </c>
      <c r="AB9" s="472">
        <f t="shared" si="17"/>
        <v>-0.92644978430254332</v>
      </c>
      <c r="AC9" s="470">
        <f t="shared" si="3"/>
        <v>1440</v>
      </c>
      <c r="AD9" s="472">
        <f t="shared" si="18"/>
        <v>-0.92644978430254332</v>
      </c>
      <c r="AE9" s="470">
        <f t="shared" si="19"/>
        <v>1440</v>
      </c>
      <c r="AF9" s="472">
        <f t="shared" si="20"/>
        <v>-0.92644978430254332</v>
      </c>
    </row>
    <row r="10" spans="1:34" ht="21">
      <c r="A10" s="409">
        <f t="shared" si="4"/>
        <v>3.096846755719166E-3</v>
      </c>
      <c r="B10" s="432">
        <v>55</v>
      </c>
      <c r="C10" s="433">
        <v>1400</v>
      </c>
      <c r="D10" s="432">
        <f t="shared" si="0"/>
        <v>1455</v>
      </c>
      <c r="E10" s="457">
        <f t="shared" si="1"/>
        <v>-16360</v>
      </c>
      <c r="F10" s="434">
        <f t="shared" si="2"/>
        <v>-0.91832725231546453</v>
      </c>
      <c r="G10" s="438">
        <v>141</v>
      </c>
      <c r="H10" s="432">
        <f t="shared" si="5"/>
        <v>-86</v>
      </c>
      <c r="I10" s="440">
        <f t="shared" si="6"/>
        <v>15055</v>
      </c>
      <c r="J10" s="437">
        <f t="shared" si="7"/>
        <v>-0.15540540539128736</v>
      </c>
      <c r="K10" s="440">
        <f t="shared" si="8"/>
        <v>755</v>
      </c>
      <c r="L10" s="437">
        <f t="shared" si="9"/>
        <v>-0.96058558549831985</v>
      </c>
      <c r="M10" s="440">
        <f t="shared" si="21"/>
        <v>855</v>
      </c>
      <c r="N10" s="437">
        <f t="shared" si="10"/>
        <v>-0.9549549548682007</v>
      </c>
      <c r="O10" s="440">
        <f t="shared" si="22"/>
        <v>955</v>
      </c>
      <c r="P10" s="437">
        <f t="shared" si="11"/>
        <v>-0.94932432423808155</v>
      </c>
      <c r="Q10" s="440">
        <f t="shared" si="24"/>
        <v>1055</v>
      </c>
      <c r="R10" s="437">
        <f t="shared" si="12"/>
        <v>-0.9436936936079624</v>
      </c>
      <c r="S10" s="440">
        <f t="shared" si="25"/>
        <v>1155</v>
      </c>
      <c r="T10" s="437">
        <f t="shared" si="13"/>
        <v>-0.93806306297784325</v>
      </c>
      <c r="U10" s="440">
        <f t="shared" si="26"/>
        <v>1255</v>
      </c>
      <c r="V10" s="437">
        <f t="shared" si="14"/>
        <v>-0.93243243234772433</v>
      </c>
      <c r="W10" s="440">
        <f>B10+$W$1</f>
        <v>1355</v>
      </c>
      <c r="X10" s="437">
        <f t="shared" si="15"/>
        <v>-0.92680180171760518</v>
      </c>
      <c r="Y10" s="440">
        <f>B10+$Y$1</f>
        <v>1455</v>
      </c>
      <c r="Z10" s="437">
        <f t="shared" si="16"/>
        <v>-0.92117117108748614</v>
      </c>
      <c r="AA10" s="441">
        <f t="shared" si="3"/>
        <v>1455</v>
      </c>
      <c r="AB10" s="437">
        <f t="shared" si="17"/>
        <v>-0.92117117108748614</v>
      </c>
      <c r="AC10" s="441">
        <f t="shared" si="3"/>
        <v>1455</v>
      </c>
      <c r="AD10" s="437">
        <f t="shared" si="18"/>
        <v>-0.92117117108748614</v>
      </c>
      <c r="AE10" s="441">
        <f t="shared" si="19"/>
        <v>1455</v>
      </c>
      <c r="AF10" s="437">
        <f t="shared" si="20"/>
        <v>-0.92117117108748614</v>
      </c>
      <c r="AH10" s="460" t="s">
        <v>25</v>
      </c>
    </row>
    <row r="11" spans="1:34" ht="21">
      <c r="A11" s="409">
        <f t="shared" si="4"/>
        <v>2.4759439163295283E-3</v>
      </c>
      <c r="B11" s="429">
        <v>44</v>
      </c>
      <c r="C11" s="430">
        <v>1500</v>
      </c>
      <c r="D11" s="429">
        <f t="shared" si="0"/>
        <v>1544</v>
      </c>
      <c r="E11" s="458">
        <f t="shared" si="1"/>
        <v>-16271</v>
      </c>
      <c r="F11" s="431">
        <f t="shared" si="2"/>
        <v>-0.91333146225091211</v>
      </c>
      <c r="G11" s="449">
        <v>151</v>
      </c>
      <c r="H11" s="429">
        <f t="shared" si="5"/>
        <v>-107</v>
      </c>
      <c r="I11" s="440">
        <f t="shared" si="6"/>
        <v>15044</v>
      </c>
      <c r="J11" s="437">
        <f t="shared" si="7"/>
        <v>-0.15592819761954246</v>
      </c>
      <c r="K11" s="440">
        <f t="shared" si="8"/>
        <v>744</v>
      </c>
      <c r="L11" s="437">
        <f t="shared" si="9"/>
        <v>-0.96060998252010443</v>
      </c>
      <c r="M11" s="440">
        <f t="shared" si="21"/>
        <v>844</v>
      </c>
      <c r="N11" s="437">
        <f t="shared" si="10"/>
        <v>-0.95498283717114951</v>
      </c>
      <c r="O11" s="440">
        <f t="shared" si="22"/>
        <v>944</v>
      </c>
      <c r="P11" s="437">
        <f t="shared" si="11"/>
        <v>-0.94935569182219448</v>
      </c>
      <c r="Q11" s="440">
        <f t="shared" si="24"/>
        <v>1044</v>
      </c>
      <c r="R11" s="437">
        <f t="shared" si="12"/>
        <v>-0.94372854647323956</v>
      </c>
      <c r="S11" s="440">
        <f t="shared" si="25"/>
        <v>1144</v>
      </c>
      <c r="T11" s="437">
        <f t="shared" si="13"/>
        <v>-0.93810140112428464</v>
      </c>
      <c r="U11" s="440">
        <f t="shared" si="26"/>
        <v>1244</v>
      </c>
      <c r="V11" s="437">
        <f t="shared" si="14"/>
        <v>-0.93247425577532972</v>
      </c>
      <c r="W11" s="440">
        <f>B11+$W$1</f>
        <v>1344</v>
      </c>
      <c r="X11" s="437">
        <f t="shared" si="15"/>
        <v>-0.92684711042637469</v>
      </c>
      <c r="Y11" s="440">
        <f>B11+$Y$1</f>
        <v>1444</v>
      </c>
      <c r="Z11" s="437">
        <f t="shared" si="16"/>
        <v>-0.92121996507741954</v>
      </c>
      <c r="AA11" s="440">
        <f>B11+$AA$1</f>
        <v>1544</v>
      </c>
      <c r="AB11" s="437">
        <f t="shared" si="17"/>
        <v>-0.91559281972846474</v>
      </c>
      <c r="AC11" s="441">
        <f t="shared" si="3"/>
        <v>1544</v>
      </c>
      <c r="AD11" s="437">
        <f t="shared" si="18"/>
        <v>-0.91559281972846474</v>
      </c>
      <c r="AE11" s="441">
        <f t="shared" si="19"/>
        <v>1544</v>
      </c>
      <c r="AF11" s="437">
        <f t="shared" si="20"/>
        <v>-0.91559281972846474</v>
      </c>
    </row>
    <row r="12" spans="1:34" ht="21">
      <c r="A12" s="409">
        <f t="shared" si="4"/>
        <v>2.8145228761380335E-3</v>
      </c>
      <c r="B12" s="422">
        <v>50</v>
      </c>
      <c r="C12" s="423">
        <v>1600</v>
      </c>
      <c r="D12" s="422">
        <f t="shared" si="0"/>
        <v>1650</v>
      </c>
      <c r="E12" s="459">
        <f t="shared" si="1"/>
        <v>-16165</v>
      </c>
      <c r="F12" s="424">
        <f t="shared" si="2"/>
        <v>-0.90738142015155765</v>
      </c>
      <c r="G12" s="450">
        <v>161</v>
      </c>
      <c r="H12" s="422">
        <f t="shared" si="5"/>
        <v>-111</v>
      </c>
      <c r="I12" s="440">
        <f t="shared" si="6"/>
        <v>15050</v>
      </c>
      <c r="J12" s="437">
        <f t="shared" si="7"/>
        <v>-0.15564311848175816</v>
      </c>
      <c r="K12" s="440">
        <f t="shared" si="8"/>
        <v>750</v>
      </c>
      <c r="L12" s="437">
        <f t="shared" si="9"/>
        <v>-0.96059667880332844</v>
      </c>
      <c r="M12" s="440">
        <f t="shared" si="21"/>
        <v>850</v>
      </c>
      <c r="N12" s="437">
        <f t="shared" si="10"/>
        <v>-0.95496763292695386</v>
      </c>
      <c r="O12" s="440">
        <f t="shared" si="22"/>
        <v>950</v>
      </c>
      <c r="P12" s="437">
        <f t="shared" si="11"/>
        <v>-0.94933858705057916</v>
      </c>
      <c r="Q12" s="440">
        <f t="shared" si="24"/>
        <v>1050</v>
      </c>
      <c r="R12" s="437">
        <f t="shared" si="12"/>
        <v>-0.94370954117420458</v>
      </c>
      <c r="S12" s="440">
        <f t="shared" si="25"/>
        <v>1150</v>
      </c>
      <c r="T12" s="437">
        <f t="shared" si="13"/>
        <v>-0.93808049529782989</v>
      </c>
      <c r="U12" s="440">
        <f t="shared" si="26"/>
        <v>1250</v>
      </c>
      <c r="V12" s="437">
        <f t="shared" si="14"/>
        <v>-0.9324514494214553</v>
      </c>
      <c r="W12" s="440">
        <f>B12+$W$1</f>
        <v>1350</v>
      </c>
      <c r="X12" s="437">
        <f t="shared" si="15"/>
        <v>-0.92682240354508061</v>
      </c>
      <c r="Y12" s="440">
        <f>B12+$Y$1</f>
        <v>1450</v>
      </c>
      <c r="Z12" s="437">
        <f t="shared" si="16"/>
        <v>-0.92119335766870603</v>
      </c>
      <c r="AA12" s="440">
        <f>B12+$AA$1</f>
        <v>1550</v>
      </c>
      <c r="AB12" s="437">
        <f t="shared" si="17"/>
        <v>-0.91556431179233144</v>
      </c>
      <c r="AC12" s="440">
        <f>B12+$AC$1</f>
        <v>1650</v>
      </c>
      <c r="AD12" s="437">
        <f t="shared" si="18"/>
        <v>-0.90993526591595686</v>
      </c>
      <c r="AE12" s="441">
        <f t="shared" si="19"/>
        <v>1650</v>
      </c>
      <c r="AF12" s="437">
        <f t="shared" si="20"/>
        <v>-0.90993526591595686</v>
      </c>
    </row>
    <row r="13" spans="1:34" ht="21">
      <c r="A13" s="438" t="s">
        <v>6914</v>
      </c>
      <c r="B13" s="432">
        <v>17815</v>
      </c>
      <c r="C13" s="432">
        <v>18600</v>
      </c>
      <c r="D13" s="432"/>
      <c r="E13" s="438"/>
      <c r="F13" s="432"/>
      <c r="G13" s="432"/>
      <c r="H13" s="432"/>
      <c r="I13" s="434">
        <f>(I1-$B$13)/$B$13</f>
        <v>-0.15801291046870614</v>
      </c>
      <c r="J13" s="438"/>
      <c r="K13" s="434">
        <f>(K1-$B$13)/$B$13</f>
        <v>-0.96070726915520632</v>
      </c>
      <c r="L13" s="432"/>
      <c r="M13" s="434">
        <f>(M1-$B$13)/$B$13</f>
        <v>-0.95509402189166437</v>
      </c>
      <c r="N13" s="432"/>
      <c r="O13" s="434">
        <f>(O1-$B$13)/$B$13</f>
        <v>-0.94948077462812241</v>
      </c>
      <c r="P13" s="432"/>
      <c r="Q13" s="434">
        <f>(Q1-$B$13)/$B$13</f>
        <v>-0.94386752736458046</v>
      </c>
      <c r="R13" s="432"/>
      <c r="S13" s="434">
        <f>(S1-$B$13)/$B$13</f>
        <v>-0.9382542801010384</v>
      </c>
      <c r="T13" s="432"/>
      <c r="U13" s="434">
        <f>(U1-$B$13)/$B$13</f>
        <v>-0.93264103283749644</v>
      </c>
      <c r="V13" s="432"/>
      <c r="W13" s="434">
        <f>(W1-$B$13)/$B$13</f>
        <v>-0.92702778557395449</v>
      </c>
      <c r="X13" s="432"/>
      <c r="Y13" s="434">
        <f>(Y1-$B$13)/$B$13</f>
        <v>-0.92141453831041253</v>
      </c>
      <c r="Z13" s="432"/>
      <c r="AA13" s="434">
        <f>(AA1-$B$13)/$B$13</f>
        <v>-0.91580129104687058</v>
      </c>
      <c r="AB13" s="432"/>
      <c r="AC13" s="434">
        <f>(AC1-$B$13)/$B$13</f>
        <v>-0.91018804378332863</v>
      </c>
      <c r="AD13" s="432"/>
      <c r="AE13" s="434">
        <f>(AE1-$B$13)/$B$13</f>
        <v>-0.90457479651978667</v>
      </c>
      <c r="AF13" s="11"/>
    </row>
    <row r="14" spans="1:34" ht="21">
      <c r="A14" s="425"/>
      <c r="B14" s="425"/>
      <c r="C14" s="425" t="s">
        <v>4340</v>
      </c>
      <c r="D14" s="425"/>
      <c r="E14" s="439"/>
      <c r="F14" s="425"/>
      <c r="G14" s="425"/>
      <c r="H14" s="425"/>
      <c r="I14" s="425"/>
      <c r="J14" s="439"/>
      <c r="K14" s="425"/>
      <c r="L14" s="425"/>
      <c r="M14" s="425"/>
      <c r="N14" s="425"/>
      <c r="O14" s="425"/>
      <c r="P14" s="425"/>
      <c r="Q14" s="425"/>
      <c r="R14" s="425"/>
      <c r="S14" s="425"/>
      <c r="T14" s="425"/>
      <c r="U14" s="425"/>
      <c r="V14" s="425"/>
      <c r="W14" s="425"/>
      <c r="X14" s="425"/>
      <c r="Y14" s="425"/>
      <c r="Z14" s="425"/>
      <c r="AA14" s="425"/>
      <c r="AB14" s="425"/>
      <c r="AC14" s="425"/>
      <c r="AD14" s="425"/>
      <c r="AE14" s="425"/>
      <c r="AF14" s="11"/>
    </row>
    <row r="18" spans="3:11" ht="21">
      <c r="C18" s="23" t="s">
        <v>6915</v>
      </c>
      <c r="D18" s="474" t="s">
        <v>6916</v>
      </c>
    </row>
    <row r="19" spans="3:11">
      <c r="H19" s="460" t="s">
        <v>25</v>
      </c>
      <c r="I19" s="460" t="s">
        <v>25</v>
      </c>
    </row>
    <row r="21" spans="3:11">
      <c r="G21" s="460" t="s">
        <v>25</v>
      </c>
    </row>
    <row r="23" spans="3:11">
      <c r="H23" s="460" t="s">
        <v>25</v>
      </c>
      <c r="K23" s="460"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11"/>
  <sheetViews>
    <sheetView workbookViewId="0">
      <selection activeCell="A9" sqref="A9"/>
    </sheetView>
  </sheetViews>
  <sheetFormatPr defaultRowHeight="15"/>
  <cols>
    <col min="1" max="1" width="138.7109375" customWidth="1"/>
  </cols>
  <sheetData>
    <row r="1" spans="1:1">
      <c r="A1" t="s">
        <v>6748</v>
      </c>
    </row>
    <row r="5" spans="1:1">
      <c r="A5" t="s">
        <v>6749</v>
      </c>
    </row>
    <row r="6" spans="1:1">
      <c r="A6" t="s">
        <v>6750</v>
      </c>
    </row>
    <row r="7" spans="1:1">
      <c r="A7" t="s">
        <v>6751</v>
      </c>
    </row>
    <row r="8" spans="1:1">
      <c r="A8" t="s">
        <v>6752</v>
      </c>
    </row>
    <row r="9" spans="1:1">
      <c r="A9" t="s">
        <v>6753</v>
      </c>
    </row>
    <row r="11" spans="1:1">
      <c r="A11" t="s">
        <v>6754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6192</v>
      </c>
      <c r="C1" s="35" t="s">
        <v>1263</v>
      </c>
      <c r="D1" s="35" t="s">
        <v>1264</v>
      </c>
      <c r="E1" s="35" t="s">
        <v>6191</v>
      </c>
      <c r="F1" s="35" t="s">
        <v>6190</v>
      </c>
      <c r="G1" s="35" t="s">
        <v>1265</v>
      </c>
      <c r="H1" s="35" t="s">
        <v>1266</v>
      </c>
      <c r="I1" s="35"/>
      <c r="L1" s="233"/>
    </row>
    <row r="2" spans="1:15">
      <c r="A2" s="35"/>
      <c r="B2" s="35"/>
      <c r="C2" s="35"/>
      <c r="D2" s="35"/>
      <c r="E2" s="35"/>
      <c r="F2" s="35"/>
      <c r="G2" s="35"/>
      <c r="H2" s="35"/>
      <c r="I2" s="35"/>
      <c r="L2" s="233"/>
    </row>
    <row r="3" spans="1:15">
      <c r="A3" s="35"/>
      <c r="B3" s="35"/>
      <c r="C3" s="35"/>
      <c r="D3" s="35"/>
      <c r="E3" s="35"/>
      <c r="F3" s="35"/>
      <c r="G3" s="35"/>
      <c r="H3" s="35"/>
      <c r="I3" s="35"/>
      <c r="L3" s="233"/>
    </row>
    <row r="4" spans="1:15">
      <c r="A4" s="232">
        <v>271110</v>
      </c>
      <c r="B4" s="232">
        <v>269660</v>
      </c>
      <c r="C4" s="35"/>
      <c r="D4" s="35"/>
      <c r="E4" s="35"/>
      <c r="F4" s="35"/>
      <c r="G4" s="35"/>
      <c r="H4" s="35"/>
      <c r="I4" s="35"/>
      <c r="L4" s="233"/>
    </row>
    <row r="5" spans="1:15">
      <c r="A5" s="232">
        <v>271110</v>
      </c>
      <c r="B5" s="232">
        <v>270550</v>
      </c>
      <c r="C5" s="196">
        <v>281380</v>
      </c>
      <c r="D5" s="196">
        <v>280240</v>
      </c>
      <c r="E5">
        <v>330</v>
      </c>
      <c r="F5" s="87">
        <v>1.1999999999999999E-3</v>
      </c>
      <c r="G5" s="142">
        <v>44508</v>
      </c>
      <c r="H5" t="s">
        <v>6515</v>
      </c>
      <c r="I5" s="35" t="s">
        <v>6188</v>
      </c>
      <c r="L5" s="35" t="str">
        <f t="shared" ref="L5:L36" si="0">CONCATENATE("USD",I5,TEXT(G5,"yyyymmdd"),I5,A334,I5,C5,I5,B334,I5,D5,I5,"1,1,1")</f>
        <v>USD,20211108,279840,281380,279700,280240,1,1,1</v>
      </c>
      <c r="N5" s="223"/>
    </row>
    <row r="6" spans="1:15">
      <c r="A6" s="232">
        <v>272810</v>
      </c>
      <c r="B6" s="232">
        <v>270050</v>
      </c>
      <c r="C6" s="196">
        <v>280080</v>
      </c>
      <c r="D6" s="196">
        <v>279910</v>
      </c>
      <c r="E6">
        <v>1670</v>
      </c>
      <c r="F6" s="87">
        <v>6.0000000000000001E-3</v>
      </c>
      <c r="G6" s="142">
        <v>44507</v>
      </c>
      <c r="H6" t="s">
        <v>6516</v>
      </c>
      <c r="I6" s="35" t="s">
        <v>6188</v>
      </c>
      <c r="L6" s="35" t="str">
        <f t="shared" si="0"/>
        <v>USD,20211107,278010,280080,277200,279910,1,1,1</v>
      </c>
    </row>
    <row r="7" spans="1:15">
      <c r="A7" s="232">
        <v>270860</v>
      </c>
      <c r="B7" s="232">
        <v>270850</v>
      </c>
      <c r="C7" s="196">
        <v>279580</v>
      </c>
      <c r="D7" s="196">
        <v>278240</v>
      </c>
      <c r="E7">
        <v>1730</v>
      </c>
      <c r="F7" s="87">
        <v>6.3E-3</v>
      </c>
      <c r="G7" s="142">
        <v>44506</v>
      </c>
      <c r="H7" t="s">
        <v>6517</v>
      </c>
      <c r="I7" s="35" t="s">
        <v>6188</v>
      </c>
      <c r="L7" s="35" t="str">
        <f t="shared" si="0"/>
        <v>USD,20211106,283180,279580,283100,278240,1,1,1</v>
      </c>
    </row>
    <row r="8" spans="1:15">
      <c r="A8" s="232">
        <v>273310</v>
      </c>
      <c r="B8" s="232">
        <v>270050</v>
      </c>
      <c r="C8" s="196">
        <v>277280</v>
      </c>
      <c r="D8" s="196">
        <v>276510</v>
      </c>
      <c r="E8">
        <v>2460</v>
      </c>
      <c r="F8" s="87">
        <v>8.8999999999999999E-3</v>
      </c>
      <c r="G8" s="142">
        <v>44504</v>
      </c>
      <c r="H8" t="s">
        <v>6518</v>
      </c>
      <c r="I8" s="35" t="s">
        <v>6188</v>
      </c>
      <c r="L8" s="35" t="str">
        <f t="shared" si="0"/>
        <v>USD,20211104,281760,277280,281400,276510,1,1,1</v>
      </c>
    </row>
    <row r="9" spans="1:15">
      <c r="A9" s="232">
        <v>273870</v>
      </c>
      <c r="B9" s="232">
        <v>272250</v>
      </c>
      <c r="C9" s="196">
        <v>279280</v>
      </c>
      <c r="D9" s="196">
        <v>278970</v>
      </c>
      <c r="E9">
        <v>2960</v>
      </c>
      <c r="F9" s="87">
        <v>1.0699999999999999E-2</v>
      </c>
      <c r="G9" s="142">
        <v>44503</v>
      </c>
      <c r="H9" t="s">
        <v>6519</v>
      </c>
      <c r="I9" s="35" t="s">
        <v>6188</v>
      </c>
      <c r="L9" s="35" t="str">
        <f t="shared" si="0"/>
        <v>USD,20211103,280230,279280,280200,278970,1,1,1</v>
      </c>
    </row>
    <row r="10" spans="1:15">
      <c r="A10" s="232">
        <v>273850</v>
      </c>
      <c r="B10" s="232">
        <v>269350</v>
      </c>
      <c r="C10" s="196">
        <v>276080</v>
      </c>
      <c r="D10" s="196">
        <v>276010</v>
      </c>
      <c r="E10">
        <v>940</v>
      </c>
      <c r="F10" s="87">
        <v>3.3999999999999998E-3</v>
      </c>
      <c r="G10" s="142">
        <v>44502</v>
      </c>
      <c r="H10" t="s">
        <v>6520</v>
      </c>
      <c r="I10" s="35" t="s">
        <v>6188</v>
      </c>
      <c r="L10" s="35" t="str">
        <f t="shared" si="0"/>
        <v>USD,20211102,,276080,,276010,1,1,1</v>
      </c>
      <c r="O10" t="s">
        <v>6189</v>
      </c>
    </row>
    <row r="11" spans="1:15">
      <c r="A11" s="232">
        <v>281890</v>
      </c>
      <c r="B11" s="232">
        <v>275490</v>
      </c>
      <c r="C11" s="196">
        <v>276380</v>
      </c>
      <c r="D11" s="196">
        <v>275070</v>
      </c>
      <c r="E11">
        <v>680</v>
      </c>
      <c r="F11" s="87">
        <v>2.5000000000000001E-3</v>
      </c>
      <c r="G11" s="142">
        <v>44501</v>
      </c>
      <c r="H11" t="s">
        <v>6521</v>
      </c>
      <c r="I11" s="35" t="s">
        <v>6188</v>
      </c>
      <c r="L11" s="35" t="str">
        <f t="shared" si="0"/>
        <v>USD,20211101,,276380,,275070,1,1,1</v>
      </c>
    </row>
    <row r="12" spans="1:15">
      <c r="A12" s="232">
        <v>282460</v>
      </c>
      <c r="B12" s="232">
        <v>281190</v>
      </c>
      <c r="C12" s="196">
        <v>276080</v>
      </c>
      <c r="D12" s="196">
        <v>275750</v>
      </c>
      <c r="E12">
        <v>390</v>
      </c>
      <c r="F12" s="87">
        <v>1.4E-3</v>
      </c>
      <c r="G12" s="142">
        <v>44500</v>
      </c>
      <c r="H12" t="s">
        <v>6522</v>
      </c>
      <c r="I12" s="35" t="s">
        <v>6188</v>
      </c>
      <c r="L12" s="35" t="str">
        <f t="shared" si="0"/>
        <v>USD,20211031,,276080,,275750,1,1,1</v>
      </c>
    </row>
    <row r="13" spans="1:15">
      <c r="A13" s="232">
        <v>279490</v>
      </c>
      <c r="B13" s="232">
        <v>277890</v>
      </c>
      <c r="C13" s="196">
        <v>276680</v>
      </c>
      <c r="D13" s="196">
        <v>276140</v>
      </c>
      <c r="E13">
        <v>430</v>
      </c>
      <c r="F13" s="87">
        <v>1.6000000000000001E-3</v>
      </c>
      <c r="G13" s="142">
        <v>44499</v>
      </c>
      <c r="H13" t="s">
        <v>6523</v>
      </c>
      <c r="I13" s="35" t="s">
        <v>6188</v>
      </c>
      <c r="L13" s="35" t="str">
        <f t="shared" si="0"/>
        <v>USD,20211030,,276680,,276140,1,1,1</v>
      </c>
    </row>
    <row r="14" spans="1:15">
      <c r="A14" s="232">
        <v>277530</v>
      </c>
      <c r="B14" s="232">
        <v>276790</v>
      </c>
      <c r="C14" s="196">
        <v>277080</v>
      </c>
      <c r="D14" s="196">
        <v>276570</v>
      </c>
      <c r="E14">
        <v>210</v>
      </c>
      <c r="F14" s="87">
        <v>8.0000000000000004E-4</v>
      </c>
      <c r="G14" s="142">
        <v>44497</v>
      </c>
      <c r="H14" t="s">
        <v>6524</v>
      </c>
      <c r="I14" s="35" t="s">
        <v>6188</v>
      </c>
      <c r="L14" s="35" t="str">
        <f t="shared" si="0"/>
        <v>USD,20211028,,277080,,276570,1,1,1</v>
      </c>
      <c r="N14" t="s">
        <v>25</v>
      </c>
    </row>
    <row r="15" spans="1:15">
      <c r="A15" s="232">
        <v>277190</v>
      </c>
      <c r="B15" s="232">
        <v>275690</v>
      </c>
      <c r="C15" s="196">
        <v>278080</v>
      </c>
      <c r="D15" s="196">
        <v>276780</v>
      </c>
      <c r="E15">
        <v>1010</v>
      </c>
      <c r="F15" s="87">
        <v>3.7000000000000002E-3</v>
      </c>
      <c r="G15" s="142">
        <v>44496</v>
      </c>
      <c r="H15" t="s">
        <v>6525</v>
      </c>
      <c r="I15" s="35" t="s">
        <v>6188</v>
      </c>
      <c r="L15" s="35" t="str">
        <f t="shared" si="0"/>
        <v>USD,20211027,,278080,,276780,1,1,1</v>
      </c>
    </row>
    <row r="16" spans="1:15">
      <c r="A16" s="232">
        <v>274390</v>
      </c>
      <c r="B16" s="232">
        <v>273690</v>
      </c>
      <c r="C16" s="196">
        <v>275780</v>
      </c>
      <c r="D16" s="196">
        <v>275770</v>
      </c>
      <c r="E16">
        <v>150</v>
      </c>
      <c r="F16" s="87">
        <v>5.0000000000000001E-4</v>
      </c>
      <c r="G16" s="142">
        <v>44495</v>
      </c>
      <c r="H16" t="s">
        <v>6526</v>
      </c>
      <c r="I16" s="35" t="s">
        <v>6188</v>
      </c>
      <c r="L16" s="35" t="str">
        <f t="shared" si="0"/>
        <v>USD,20211026,,275780,,275770,1,1,1</v>
      </c>
    </row>
    <row r="17" spans="1:12">
      <c r="A17" s="232">
        <v>274500</v>
      </c>
      <c r="B17" s="232">
        <v>273490</v>
      </c>
      <c r="C17" s="196">
        <v>276780</v>
      </c>
      <c r="D17" s="196">
        <v>275620</v>
      </c>
      <c r="E17">
        <v>410</v>
      </c>
      <c r="F17" s="87">
        <v>1.5E-3</v>
      </c>
      <c r="G17" s="142">
        <v>44494</v>
      </c>
      <c r="H17" t="s">
        <v>6527</v>
      </c>
      <c r="I17" s="35" t="s">
        <v>6188</v>
      </c>
      <c r="L17" s="35" t="str">
        <f t="shared" si="0"/>
        <v>USD,20211025,,276780,,275620,1,1,1</v>
      </c>
    </row>
    <row r="18" spans="1:12">
      <c r="A18" s="232">
        <v>269030</v>
      </c>
      <c r="B18" s="232">
        <v>268990</v>
      </c>
      <c r="C18" s="196">
        <v>276080</v>
      </c>
      <c r="D18" s="196">
        <v>276030</v>
      </c>
      <c r="E18">
        <v>1880</v>
      </c>
      <c r="F18" s="87">
        <v>6.8999999999999999E-3</v>
      </c>
      <c r="G18" s="142">
        <v>44492</v>
      </c>
      <c r="H18" t="s">
        <v>6528</v>
      </c>
      <c r="I18" s="35" t="s">
        <v>6188</v>
      </c>
      <c r="L18" s="35" t="str">
        <f t="shared" si="0"/>
        <v>USD,20211023,,276080,,276030,1,1,1</v>
      </c>
    </row>
    <row r="19" spans="1:12">
      <c r="A19" s="232">
        <v>269080</v>
      </c>
      <c r="B19" s="232">
        <v>268990</v>
      </c>
      <c r="C19" s="196">
        <v>274680</v>
      </c>
      <c r="D19" s="196">
        <v>274150</v>
      </c>
      <c r="E19">
        <v>1070</v>
      </c>
      <c r="F19" s="87">
        <v>3.8999999999999998E-3</v>
      </c>
      <c r="G19" s="142">
        <v>44490</v>
      </c>
      <c r="H19" t="s">
        <v>6529</v>
      </c>
      <c r="I19" s="35" t="s">
        <v>6188</v>
      </c>
      <c r="L19" s="35" t="str">
        <f t="shared" si="0"/>
        <v>USD,20211021,,274680,,274150,1,1,1</v>
      </c>
    </row>
    <row r="20" spans="1:12">
      <c r="A20" s="232">
        <v>269110</v>
      </c>
      <c r="B20" s="232">
        <v>268990</v>
      </c>
      <c r="C20" s="196">
        <v>274180</v>
      </c>
      <c r="D20" s="196">
        <v>273080</v>
      </c>
      <c r="E20">
        <v>1750</v>
      </c>
      <c r="F20" s="87">
        <v>6.4000000000000003E-3</v>
      </c>
      <c r="G20" s="142">
        <v>44489</v>
      </c>
      <c r="H20" t="s">
        <v>6530</v>
      </c>
      <c r="I20" s="35" t="s">
        <v>6188</v>
      </c>
      <c r="L20" s="35" t="str">
        <f t="shared" si="0"/>
        <v>USD,20211020,,274180,,273080,1,1,1</v>
      </c>
    </row>
    <row r="21" spans="1:12">
      <c r="A21" s="232">
        <v>263490</v>
      </c>
      <c r="B21" s="232">
        <v>263490</v>
      </c>
      <c r="C21" s="196">
        <v>275380</v>
      </c>
      <c r="D21" s="196">
        <v>274830</v>
      </c>
      <c r="E21">
        <v>2190</v>
      </c>
      <c r="F21" s="87">
        <v>8.0000000000000002E-3</v>
      </c>
      <c r="G21" s="142">
        <v>44488</v>
      </c>
      <c r="H21" t="s">
        <v>6531</v>
      </c>
      <c r="I21" s="35" t="s">
        <v>6188</v>
      </c>
      <c r="L21" s="35" t="str">
        <f t="shared" si="0"/>
        <v>USD,20211019,,275380,,274830,1,1,1</v>
      </c>
    </row>
    <row r="22" spans="1:12">
      <c r="A22" s="232">
        <v>263110</v>
      </c>
      <c r="B22" s="232">
        <v>262590</v>
      </c>
      <c r="C22" s="196">
        <v>273180</v>
      </c>
      <c r="D22" s="196">
        <v>272640</v>
      </c>
      <c r="E22">
        <v>820</v>
      </c>
      <c r="F22" s="87">
        <v>3.0000000000000001E-3</v>
      </c>
      <c r="G22" s="142">
        <v>44487</v>
      </c>
      <c r="H22" t="s">
        <v>6532</v>
      </c>
      <c r="I22" s="35" t="s">
        <v>6188</v>
      </c>
      <c r="L22" s="35" t="str">
        <f t="shared" si="0"/>
        <v>USD,20211018,,273180,,272640,1,1,1</v>
      </c>
    </row>
    <row r="23" spans="1:12">
      <c r="A23" s="232">
        <v>265890</v>
      </c>
      <c r="B23" s="232">
        <v>262890</v>
      </c>
      <c r="C23" s="196">
        <v>272980</v>
      </c>
      <c r="D23" s="196">
        <v>271820</v>
      </c>
      <c r="E23">
        <v>1030</v>
      </c>
      <c r="F23" s="87">
        <v>3.8E-3</v>
      </c>
      <c r="G23" s="142">
        <v>44486</v>
      </c>
      <c r="H23" t="s">
        <v>6533</v>
      </c>
      <c r="I23" s="35" t="s">
        <v>6188</v>
      </c>
      <c r="L23" s="35" t="str">
        <f t="shared" si="0"/>
        <v>USD,20211017,,272980,,271820,1,1,1</v>
      </c>
    </row>
    <row r="24" spans="1:12">
      <c r="A24" s="232">
        <v>264690</v>
      </c>
      <c r="B24" s="232">
        <v>263790</v>
      </c>
      <c r="C24" s="196">
        <v>273280</v>
      </c>
      <c r="D24" s="196">
        <v>272850</v>
      </c>
      <c r="E24">
        <v>1980</v>
      </c>
      <c r="F24" s="87">
        <v>7.3000000000000001E-3</v>
      </c>
      <c r="G24" s="142">
        <v>44485</v>
      </c>
      <c r="H24" t="s">
        <v>6534</v>
      </c>
      <c r="I24" s="35" t="s">
        <v>6188</v>
      </c>
      <c r="L24" s="35" t="str">
        <f t="shared" si="0"/>
        <v>USD,20211016,,273280,,272850,1,1,1</v>
      </c>
    </row>
    <row r="25" spans="1:12">
      <c r="A25" s="232">
        <v>258990</v>
      </c>
      <c r="B25" s="232">
        <v>258990</v>
      </c>
      <c r="C25" s="196">
        <v>272480</v>
      </c>
      <c r="D25" s="196">
        <v>270870</v>
      </c>
      <c r="E25">
        <v>690</v>
      </c>
      <c r="F25" s="87">
        <v>2.5000000000000001E-3</v>
      </c>
      <c r="G25" s="142">
        <v>44483</v>
      </c>
      <c r="H25" t="s">
        <v>6535</v>
      </c>
      <c r="I25" s="35" t="s">
        <v>6188</v>
      </c>
      <c r="L25" s="35" t="str">
        <f t="shared" si="0"/>
        <v>USD,20211014,,272480,,270870,1,1,1</v>
      </c>
    </row>
    <row r="26" spans="1:12">
      <c r="A26" s="232">
        <v>256340</v>
      </c>
      <c r="B26" s="232">
        <v>256190</v>
      </c>
      <c r="C26" s="196">
        <v>272780</v>
      </c>
      <c r="D26" s="196">
        <v>271560</v>
      </c>
      <c r="E26">
        <v>830</v>
      </c>
      <c r="F26" s="87">
        <v>3.0999999999999999E-3</v>
      </c>
      <c r="G26" s="142">
        <v>44482</v>
      </c>
      <c r="H26" t="s">
        <v>6536</v>
      </c>
      <c r="I26" s="35" t="s">
        <v>6188</v>
      </c>
      <c r="L26" s="35" t="str">
        <f t="shared" si="0"/>
        <v>USD,20211013,,272780,,271560,1,1,1</v>
      </c>
    </row>
    <row r="27" spans="1:12">
      <c r="A27" s="232">
        <v>256290</v>
      </c>
      <c r="B27" s="232">
        <v>252390</v>
      </c>
      <c r="C27" s="196">
        <v>273680</v>
      </c>
      <c r="D27" s="196">
        <v>270730</v>
      </c>
      <c r="E27">
        <v>2600</v>
      </c>
      <c r="F27" s="87">
        <v>9.5999999999999992E-3</v>
      </c>
      <c r="G27" s="142">
        <v>44481</v>
      </c>
      <c r="H27" t="s">
        <v>6537</v>
      </c>
      <c r="I27" s="35" t="s">
        <v>6188</v>
      </c>
      <c r="L27" s="35" t="str">
        <f t="shared" si="0"/>
        <v>USD,20211012,,273680,,270730,1,1,1</v>
      </c>
    </row>
    <row r="28" spans="1:12">
      <c r="A28" s="232">
        <v>254190</v>
      </c>
      <c r="B28" s="232">
        <v>253990</v>
      </c>
      <c r="C28" s="196">
        <v>276080</v>
      </c>
      <c r="D28" s="196">
        <v>273330</v>
      </c>
      <c r="E28">
        <v>2480</v>
      </c>
      <c r="F28" s="87">
        <v>9.1000000000000004E-3</v>
      </c>
      <c r="G28" s="142">
        <v>44480</v>
      </c>
      <c r="H28" t="s">
        <v>6538</v>
      </c>
      <c r="I28" s="35" t="s">
        <v>6188</v>
      </c>
      <c r="L28" s="35" t="str">
        <f t="shared" si="0"/>
        <v>USD,20211011,,276080,,273330,1,1,1</v>
      </c>
    </row>
    <row r="29" spans="1:12">
      <c r="A29" s="232">
        <v>256490</v>
      </c>
      <c r="B29" s="232">
        <v>255790</v>
      </c>
      <c r="C29" s="196">
        <v>276280</v>
      </c>
      <c r="D29" s="196">
        <v>275810</v>
      </c>
      <c r="E29">
        <v>210</v>
      </c>
      <c r="F29" s="87">
        <v>8.0000000000000004E-4</v>
      </c>
      <c r="G29" s="142">
        <v>44479</v>
      </c>
      <c r="H29" t="s">
        <v>6539</v>
      </c>
      <c r="I29" s="35" t="s">
        <v>6188</v>
      </c>
      <c r="L29" s="35" t="str">
        <f t="shared" si="0"/>
        <v>USD,20211010,,276280,,275810,1,1,1</v>
      </c>
    </row>
    <row r="30" spans="1:12">
      <c r="A30" s="232">
        <v>257250</v>
      </c>
      <c r="B30" s="232">
        <v>254690</v>
      </c>
      <c r="C30" s="196">
        <v>279380</v>
      </c>
      <c r="D30" s="196">
        <v>275600</v>
      </c>
      <c r="E30">
        <v>3720</v>
      </c>
      <c r="F30" s="87">
        <v>1.35E-2</v>
      </c>
      <c r="G30" s="142">
        <v>44478</v>
      </c>
      <c r="H30" t="s">
        <v>6540</v>
      </c>
      <c r="I30" s="35" t="s">
        <v>6188</v>
      </c>
      <c r="L30" s="35" t="str">
        <f t="shared" si="0"/>
        <v>USD,20211009,,279380,,275600,1,1,1</v>
      </c>
    </row>
    <row r="31" spans="1:12">
      <c r="A31" s="232">
        <v>255790</v>
      </c>
      <c r="B31" s="232">
        <v>255690</v>
      </c>
      <c r="C31" s="196">
        <v>281680</v>
      </c>
      <c r="D31" s="196">
        <v>279320</v>
      </c>
      <c r="E31">
        <v>2040</v>
      </c>
      <c r="F31" s="87">
        <v>7.3000000000000001E-3</v>
      </c>
      <c r="G31" s="142">
        <v>44475</v>
      </c>
      <c r="H31" t="s">
        <v>6541</v>
      </c>
      <c r="I31" s="35" t="s">
        <v>6188</v>
      </c>
      <c r="L31" s="35" t="str">
        <f t="shared" si="0"/>
        <v>USD,20211006,,281680,,279320,1,1,1</v>
      </c>
    </row>
    <row r="32" spans="1:12">
      <c r="A32" s="232">
        <v>255690</v>
      </c>
      <c r="B32" s="232">
        <v>254590</v>
      </c>
      <c r="C32" s="196">
        <v>281680</v>
      </c>
      <c r="D32" s="196">
        <v>281360</v>
      </c>
      <c r="E32" t="s">
        <v>6187</v>
      </c>
      <c r="F32" t="s">
        <v>6187</v>
      </c>
      <c r="G32" s="142">
        <v>44473</v>
      </c>
      <c r="H32" t="s">
        <v>6542</v>
      </c>
      <c r="I32" s="35" t="s">
        <v>6188</v>
      </c>
      <c r="L32" s="35" t="str">
        <f t="shared" si="0"/>
        <v>USD,20211004,,281680,,281360,1,1,1</v>
      </c>
    </row>
    <row r="33" spans="1:12">
      <c r="A33" s="232">
        <v>257190</v>
      </c>
      <c r="B33" s="232">
        <v>254290</v>
      </c>
      <c r="C33" s="196">
        <v>281610</v>
      </c>
      <c r="D33" s="196">
        <v>280410</v>
      </c>
      <c r="E33">
        <v>1600</v>
      </c>
      <c r="F33" s="87">
        <v>5.7000000000000002E-3</v>
      </c>
      <c r="G33" s="142">
        <v>44472</v>
      </c>
      <c r="H33" t="s">
        <v>6543</v>
      </c>
      <c r="I33" s="35" t="s">
        <v>6188</v>
      </c>
      <c r="L33" s="35" t="str">
        <f t="shared" si="0"/>
        <v>USD,20211003,,281610,,280410,1,1,1</v>
      </c>
    </row>
    <row r="34" spans="1:12">
      <c r="A34" s="232">
        <v>260270</v>
      </c>
      <c r="B34" s="232">
        <v>256990</v>
      </c>
      <c r="C34" s="196">
        <v>283510</v>
      </c>
      <c r="D34" s="196">
        <v>282010</v>
      </c>
      <c r="E34">
        <v>2700</v>
      </c>
      <c r="F34" s="87">
        <v>9.5999999999999992E-3</v>
      </c>
      <c r="G34" s="142">
        <v>44471</v>
      </c>
      <c r="H34" t="s">
        <v>6545</v>
      </c>
      <c r="I34" s="35" t="s">
        <v>6188</v>
      </c>
      <c r="L34" s="35" t="str">
        <f t="shared" si="0"/>
        <v>USD,20211002,,283510,,282010,1,1,1</v>
      </c>
    </row>
    <row r="35" spans="1:12">
      <c r="A35" s="196">
        <v>251800</v>
      </c>
      <c r="B35" s="196">
        <v>251690</v>
      </c>
      <c r="C35" s="196">
        <v>284710</v>
      </c>
      <c r="D35" s="196">
        <v>284710</v>
      </c>
      <c r="E35">
        <v>2200</v>
      </c>
      <c r="F35" s="87">
        <v>7.7999999999999996E-3</v>
      </c>
      <c r="G35" s="142">
        <v>44469</v>
      </c>
      <c r="H35" t="s">
        <v>6546</v>
      </c>
      <c r="I35" s="35" t="s">
        <v>6188</v>
      </c>
      <c r="L35" s="35" t="str">
        <f t="shared" si="0"/>
        <v>USD,20210930,,284710,,284710,1,1,1</v>
      </c>
    </row>
    <row r="36" spans="1:12">
      <c r="A36" s="196">
        <v>250780</v>
      </c>
      <c r="B36" s="196">
        <v>250690</v>
      </c>
      <c r="C36" s="196">
        <v>283210</v>
      </c>
      <c r="D36" s="196">
        <v>282510</v>
      </c>
      <c r="E36">
        <v>1800</v>
      </c>
      <c r="F36" s="87">
        <v>6.4000000000000003E-3</v>
      </c>
      <c r="G36" s="142">
        <v>44468</v>
      </c>
      <c r="H36" t="s">
        <v>6547</v>
      </c>
      <c r="I36" s="35" t="s">
        <v>6188</v>
      </c>
      <c r="L36" s="35" t="str">
        <f t="shared" si="0"/>
        <v>USD,20210929,,283210,,282510,1,1,1</v>
      </c>
    </row>
    <row r="37" spans="1:12">
      <c r="A37" s="196">
        <v>248130</v>
      </c>
      <c r="B37" s="196">
        <v>247890</v>
      </c>
      <c r="C37" s="196">
        <v>280710</v>
      </c>
      <c r="D37" s="196">
        <v>280710</v>
      </c>
      <c r="E37">
        <v>3900</v>
      </c>
      <c r="F37" s="87">
        <v>1.41E-2</v>
      </c>
      <c r="G37" s="142">
        <v>44467</v>
      </c>
      <c r="H37" t="s">
        <v>6548</v>
      </c>
      <c r="I37" s="35" t="s">
        <v>6188</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6549</v>
      </c>
      <c r="I38" s="35" t="s">
        <v>6188</v>
      </c>
      <c r="L38" s="35" t="str">
        <f t="shared" si="1"/>
        <v>USD,20210926,,276910,,276810,1,1,1</v>
      </c>
    </row>
    <row r="39" spans="1:12">
      <c r="A39" s="196">
        <v>246190</v>
      </c>
      <c r="B39" s="196">
        <v>246190</v>
      </c>
      <c r="C39" s="196">
        <v>276810</v>
      </c>
      <c r="D39" s="196">
        <v>275610</v>
      </c>
      <c r="E39">
        <v>1200</v>
      </c>
      <c r="F39" s="87">
        <v>4.4000000000000003E-3</v>
      </c>
      <c r="G39" s="142">
        <v>44464</v>
      </c>
      <c r="H39" t="s">
        <v>6550</v>
      </c>
      <c r="I39" s="35" t="s">
        <v>6188</v>
      </c>
      <c r="L39" s="35" t="str">
        <f t="shared" si="1"/>
        <v>USD,20210925,,276810,,275610,1,1,1</v>
      </c>
    </row>
    <row r="40" spans="1:12">
      <c r="A40" s="196">
        <v>246240</v>
      </c>
      <c r="B40" s="196">
        <v>246190</v>
      </c>
      <c r="C40" s="196">
        <v>276810</v>
      </c>
      <c r="D40" s="196">
        <v>276810</v>
      </c>
      <c r="E40">
        <v>1600</v>
      </c>
      <c r="F40" s="87">
        <v>5.7999999999999996E-3</v>
      </c>
      <c r="G40" s="142">
        <v>44462</v>
      </c>
      <c r="H40" t="s">
        <v>6544</v>
      </c>
      <c r="I40" s="35" t="s">
        <v>6188</v>
      </c>
      <c r="L40" s="35" t="str">
        <f t="shared" si="1"/>
        <v>USD,20210923,,276810,,276810,1,1,1</v>
      </c>
    </row>
    <row r="41" spans="1:12">
      <c r="A41" s="196">
        <v>244820</v>
      </c>
      <c r="B41" s="196">
        <v>244790</v>
      </c>
      <c r="C41" s="196">
        <v>276110</v>
      </c>
      <c r="D41" s="196">
        <v>275210</v>
      </c>
      <c r="E41">
        <v>1180</v>
      </c>
      <c r="F41" s="87">
        <v>4.3E-3</v>
      </c>
      <c r="G41" s="142">
        <v>44461</v>
      </c>
      <c r="H41" t="s">
        <v>6551</v>
      </c>
      <c r="I41" s="35" t="s">
        <v>6188</v>
      </c>
      <c r="L41" s="35" t="str">
        <f t="shared" si="1"/>
        <v>USD,20210922,,276110,,275210,1,1,1</v>
      </c>
    </row>
    <row r="42" spans="1:12">
      <c r="A42" s="196">
        <v>245600</v>
      </c>
      <c r="B42" s="196">
        <v>244090</v>
      </c>
      <c r="C42" s="196">
        <v>276310</v>
      </c>
      <c r="D42" s="196">
        <v>274030</v>
      </c>
      <c r="E42" t="s">
        <v>6187</v>
      </c>
      <c r="F42" t="s">
        <v>6187</v>
      </c>
      <c r="G42" s="142">
        <v>44460</v>
      </c>
      <c r="H42" t="s">
        <v>6552</v>
      </c>
      <c r="I42" s="35" t="s">
        <v>6188</v>
      </c>
      <c r="L42" s="35" t="str">
        <f t="shared" si="1"/>
        <v>USD,20210921,,276310,,274030,1,1,1</v>
      </c>
    </row>
    <row r="43" spans="1:12">
      <c r="A43" s="196">
        <v>246890</v>
      </c>
      <c r="B43" s="196">
        <v>245190</v>
      </c>
      <c r="C43" s="196">
        <v>274510</v>
      </c>
      <c r="D43" s="196">
        <v>274430</v>
      </c>
      <c r="E43">
        <v>220</v>
      </c>
      <c r="F43" s="87">
        <v>8.0000000000000004E-4</v>
      </c>
      <c r="G43" s="142">
        <v>44459</v>
      </c>
      <c r="H43" t="s">
        <v>6553</v>
      </c>
      <c r="I43" s="35" t="s">
        <v>6188</v>
      </c>
      <c r="L43" s="35" t="str">
        <f t="shared" si="1"/>
        <v>USD,20210920,,274510,,274430,1,1,1</v>
      </c>
    </row>
    <row r="44" spans="1:12">
      <c r="A44" s="196">
        <v>247610</v>
      </c>
      <c r="B44" s="196">
        <v>247190</v>
      </c>
      <c r="C44" s="196">
        <v>275010</v>
      </c>
      <c r="D44" s="196">
        <v>274650</v>
      </c>
      <c r="E44">
        <v>940</v>
      </c>
      <c r="F44" s="87">
        <v>3.3999999999999998E-3</v>
      </c>
      <c r="G44" s="142">
        <v>44458</v>
      </c>
      <c r="H44" t="s">
        <v>6554</v>
      </c>
      <c r="I44" s="35" t="s">
        <v>6188</v>
      </c>
      <c r="L44" s="35" t="str">
        <f t="shared" si="1"/>
        <v>USD,20210919,,275010,,274650,1,1,1</v>
      </c>
    </row>
    <row r="45" spans="1:12">
      <c r="A45" s="196">
        <v>246190</v>
      </c>
      <c r="B45" s="196">
        <v>246190</v>
      </c>
      <c r="C45" s="196">
        <v>276410</v>
      </c>
      <c r="D45" s="196">
        <v>273710</v>
      </c>
      <c r="E45">
        <v>750</v>
      </c>
      <c r="F45" s="87">
        <v>2.7000000000000001E-3</v>
      </c>
      <c r="G45" s="142">
        <v>44457</v>
      </c>
      <c r="H45" t="s">
        <v>6555</v>
      </c>
      <c r="I45" s="35" t="s">
        <v>6188</v>
      </c>
      <c r="L45" s="35" t="str">
        <f t="shared" si="1"/>
        <v>USD,20210918,,276410,,273710,1,1,1</v>
      </c>
    </row>
    <row r="46" spans="1:12">
      <c r="A46" s="196">
        <v>247610</v>
      </c>
      <c r="B46" s="196">
        <v>244990</v>
      </c>
      <c r="C46" s="196">
        <v>274510</v>
      </c>
      <c r="D46" s="196">
        <v>274460</v>
      </c>
      <c r="E46">
        <v>1250</v>
      </c>
      <c r="F46" s="87">
        <v>4.5999999999999999E-3</v>
      </c>
      <c r="G46" s="142">
        <v>44455</v>
      </c>
      <c r="H46" t="s">
        <v>6556</v>
      </c>
      <c r="I46" s="35" t="s">
        <v>6188</v>
      </c>
      <c r="L46" s="35" t="str">
        <f t="shared" si="1"/>
        <v>USD,20210916,,274510,,274460,1,1,1</v>
      </c>
    </row>
    <row r="47" spans="1:12">
      <c r="A47" s="196">
        <v>249740</v>
      </c>
      <c r="B47" s="196">
        <v>247090</v>
      </c>
      <c r="C47" s="196">
        <v>274210</v>
      </c>
      <c r="D47" s="196">
        <v>273210</v>
      </c>
      <c r="E47">
        <v>3260</v>
      </c>
      <c r="F47" s="87">
        <v>1.1900000000000001E-2</v>
      </c>
      <c r="G47" s="142">
        <v>44454</v>
      </c>
      <c r="H47" t="s">
        <v>6557</v>
      </c>
      <c r="I47" s="35" t="s">
        <v>6188</v>
      </c>
      <c r="L47" s="35" t="str">
        <f t="shared" si="1"/>
        <v>USD,20210915,,274210,,273210,1,1,1</v>
      </c>
    </row>
    <row r="48" spans="1:12">
      <c r="A48" s="196">
        <v>250040</v>
      </c>
      <c r="B48" s="196">
        <v>249290</v>
      </c>
      <c r="C48" s="196">
        <v>277310</v>
      </c>
      <c r="D48" s="196">
        <v>276470</v>
      </c>
      <c r="E48">
        <v>3360</v>
      </c>
      <c r="F48" s="87">
        <v>1.23E-2</v>
      </c>
      <c r="G48" s="142">
        <v>44453</v>
      </c>
      <c r="H48" t="s">
        <v>6558</v>
      </c>
      <c r="I48" s="35" t="s">
        <v>6188</v>
      </c>
      <c r="L48" s="35" t="str">
        <f t="shared" si="1"/>
        <v>USD,20210914,,277310,,276470,1,1,1</v>
      </c>
    </row>
    <row r="49" spans="1:12">
      <c r="A49" s="196">
        <v>249210</v>
      </c>
      <c r="B49" s="196">
        <v>248790</v>
      </c>
      <c r="C49" s="196">
        <v>273210</v>
      </c>
      <c r="D49" s="196">
        <v>273110</v>
      </c>
      <c r="E49">
        <v>600</v>
      </c>
      <c r="F49" s="87">
        <v>2.2000000000000001E-3</v>
      </c>
      <c r="G49" s="142">
        <v>44452</v>
      </c>
      <c r="H49" t="s">
        <v>6559</v>
      </c>
      <c r="I49" s="35" t="s">
        <v>6188</v>
      </c>
      <c r="L49" s="35" t="str">
        <f t="shared" si="1"/>
        <v>USD,20210913,,273210,,273110,1,1,1</v>
      </c>
    </row>
    <row r="50" spans="1:12">
      <c r="A50" s="196">
        <v>250340</v>
      </c>
      <c r="B50" s="196">
        <v>248190</v>
      </c>
      <c r="C50" s="196">
        <v>277210</v>
      </c>
      <c r="D50" s="196">
        <v>272510</v>
      </c>
      <c r="E50">
        <v>4800</v>
      </c>
      <c r="F50" s="87">
        <v>1.7600000000000001E-2</v>
      </c>
      <c r="G50" s="142">
        <v>44451</v>
      </c>
      <c r="H50" t="s">
        <v>6560</v>
      </c>
      <c r="I50" s="35" t="s">
        <v>6188</v>
      </c>
      <c r="L50" s="35" t="str">
        <f t="shared" si="1"/>
        <v>USD,20210912,,277210,,272510,1,1,1</v>
      </c>
    </row>
    <row r="51" spans="1:12">
      <c r="A51" s="196">
        <v>251070</v>
      </c>
      <c r="B51" s="196">
        <v>249490</v>
      </c>
      <c r="C51" s="196">
        <v>278810</v>
      </c>
      <c r="D51" s="196">
        <v>277310</v>
      </c>
      <c r="E51">
        <v>960</v>
      </c>
      <c r="F51" s="87">
        <v>3.5000000000000001E-3</v>
      </c>
      <c r="G51" s="142">
        <v>44450</v>
      </c>
      <c r="H51" t="s">
        <v>6561</v>
      </c>
      <c r="I51" s="35" t="s">
        <v>6188</v>
      </c>
      <c r="L51" s="35" t="str">
        <f t="shared" si="1"/>
        <v>USD,20210911,,278810,,277310,1,1,1</v>
      </c>
    </row>
    <row r="52" spans="1:12">
      <c r="A52" s="196">
        <v>250490</v>
      </c>
      <c r="B52" s="196">
        <v>250010</v>
      </c>
      <c r="C52" s="196">
        <v>279010</v>
      </c>
      <c r="D52" s="196">
        <v>278270</v>
      </c>
      <c r="E52">
        <v>1460</v>
      </c>
      <c r="F52" s="87">
        <v>5.3E-3</v>
      </c>
      <c r="G52" s="142">
        <v>44448</v>
      </c>
      <c r="H52" t="s">
        <v>6562</v>
      </c>
      <c r="I52" s="35" t="s">
        <v>6188</v>
      </c>
      <c r="L52" s="35" t="str">
        <f t="shared" si="1"/>
        <v>USD,20210909,,279010,,278270,1,1,1</v>
      </c>
    </row>
    <row r="53" spans="1:12">
      <c r="A53" s="196">
        <v>250990</v>
      </c>
      <c r="B53" s="196">
        <v>250590</v>
      </c>
      <c r="C53" s="196">
        <v>277310</v>
      </c>
      <c r="D53" s="196">
        <v>276810</v>
      </c>
      <c r="E53">
        <v>3000</v>
      </c>
      <c r="F53" s="87">
        <v>1.0999999999999999E-2</v>
      </c>
      <c r="G53" s="142">
        <v>44447</v>
      </c>
      <c r="H53" t="s">
        <v>6563</v>
      </c>
      <c r="I53" s="35" t="s">
        <v>6188</v>
      </c>
      <c r="L53" s="35" t="str">
        <f t="shared" si="1"/>
        <v>USD,20210908,,277310,,276810,1,1,1</v>
      </c>
    </row>
    <row r="54" spans="1:12">
      <c r="A54" s="196">
        <v>251220</v>
      </c>
      <c r="B54" s="196">
        <v>249490</v>
      </c>
      <c r="C54" s="196">
        <v>274010</v>
      </c>
      <c r="D54" s="196">
        <v>273810</v>
      </c>
      <c r="E54">
        <v>2600</v>
      </c>
      <c r="F54" s="87">
        <v>9.5999999999999992E-3</v>
      </c>
      <c r="G54" s="142">
        <v>44446</v>
      </c>
      <c r="H54" t="s">
        <v>6564</v>
      </c>
      <c r="I54" s="35" t="s">
        <v>6188</v>
      </c>
      <c r="L54" s="35" t="str">
        <f t="shared" si="1"/>
        <v>USD,20210907,,274010,,273810,1,1,1</v>
      </c>
    </row>
    <row r="55" spans="1:12">
      <c r="A55" s="196">
        <v>254490</v>
      </c>
      <c r="B55" s="196">
        <v>251090</v>
      </c>
      <c r="C55" s="196">
        <v>251640</v>
      </c>
      <c r="D55" s="196">
        <v>251090</v>
      </c>
      <c r="E55">
        <v>1370</v>
      </c>
      <c r="F55" s="87">
        <v>5.4999999999999997E-3</v>
      </c>
      <c r="G55" s="142">
        <v>44383</v>
      </c>
      <c r="H55" t="s">
        <v>6193</v>
      </c>
      <c r="I55" s="35" t="s">
        <v>6188</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6194</v>
      </c>
      <c r="I56" s="35" t="s">
        <v>6188</v>
      </c>
      <c r="L56" s="35" t="str">
        <f t="shared" si="2"/>
        <v>USD,20210705,251220,251340,249490,249720,1,1,1</v>
      </c>
    </row>
    <row r="57" spans="1:12">
      <c r="A57" s="196">
        <v>253290</v>
      </c>
      <c r="B57" s="196">
        <v>250690</v>
      </c>
      <c r="C57" s="196">
        <v>254640</v>
      </c>
      <c r="D57" s="196">
        <v>251510</v>
      </c>
      <c r="E57">
        <v>850</v>
      </c>
      <c r="F57" s="87">
        <v>3.3999999999999998E-3</v>
      </c>
      <c r="G57" s="142">
        <v>44381</v>
      </c>
      <c r="H57" t="s">
        <v>6085</v>
      </c>
      <c r="I57" s="35" t="s">
        <v>6188</v>
      </c>
      <c r="L57" s="35" t="str">
        <f t="shared" si="2"/>
        <v>USD,20210704,254490,254640,251090,251510,1,1,1</v>
      </c>
    </row>
    <row r="58" spans="1:12">
      <c r="A58" s="196">
        <v>250020</v>
      </c>
      <c r="B58" s="196">
        <v>249990</v>
      </c>
      <c r="C58" s="196">
        <v>253840</v>
      </c>
      <c r="D58" s="196">
        <v>252360</v>
      </c>
      <c r="E58">
        <v>850</v>
      </c>
      <c r="F58" s="87">
        <v>3.3999999999999998E-3</v>
      </c>
      <c r="G58" s="142">
        <v>44380</v>
      </c>
      <c r="H58" t="s">
        <v>6195</v>
      </c>
      <c r="I58" s="35" t="s">
        <v>6188</v>
      </c>
      <c r="L58" s="35" t="str">
        <f t="shared" si="2"/>
        <v>USD,20210703,251600,253840,251390,252360,1,1,1</v>
      </c>
    </row>
    <row r="59" spans="1:12">
      <c r="A59" s="196">
        <v>249000</v>
      </c>
      <c r="B59" s="196">
        <v>248890</v>
      </c>
      <c r="C59" s="196">
        <v>253440</v>
      </c>
      <c r="D59" s="196">
        <v>251510</v>
      </c>
      <c r="E59">
        <v>2490</v>
      </c>
      <c r="F59" s="87">
        <v>9.9000000000000008E-3</v>
      </c>
      <c r="G59" s="142">
        <v>44378</v>
      </c>
      <c r="H59" t="s">
        <v>6196</v>
      </c>
      <c r="I59" s="35" t="s">
        <v>6188</v>
      </c>
      <c r="L59" s="35" t="str">
        <f t="shared" si="2"/>
        <v>USD,20210701,253290,253440,250690,251510,1,1,1</v>
      </c>
    </row>
    <row r="60" spans="1:12">
      <c r="A60" s="196">
        <v>246360</v>
      </c>
      <c r="B60" s="196">
        <v>246290</v>
      </c>
      <c r="C60" s="196">
        <v>254130</v>
      </c>
      <c r="D60" s="196">
        <v>254000</v>
      </c>
      <c r="E60">
        <v>4350</v>
      </c>
      <c r="F60" s="87">
        <v>1.7399999999999999E-2</v>
      </c>
      <c r="G60" s="142">
        <v>44377</v>
      </c>
      <c r="H60" t="s">
        <v>6197</v>
      </c>
      <c r="I60" s="35" t="s">
        <v>6188</v>
      </c>
      <c r="L60" s="35" t="str">
        <f t="shared" si="2"/>
        <v>USD,20210630,250020,254130,249990,254000,1,1,1</v>
      </c>
    </row>
    <row r="61" spans="1:12">
      <c r="A61" s="196">
        <v>243490</v>
      </c>
      <c r="B61" s="196">
        <v>243490</v>
      </c>
      <c r="C61" s="196">
        <v>252040</v>
      </c>
      <c r="D61" s="196">
        <v>249650</v>
      </c>
      <c r="E61">
        <v>2530</v>
      </c>
      <c r="F61" s="87">
        <v>1.0200000000000001E-2</v>
      </c>
      <c r="G61" s="142">
        <v>44376</v>
      </c>
      <c r="H61" t="s">
        <v>6198</v>
      </c>
      <c r="I61" s="35" t="s">
        <v>6188</v>
      </c>
      <c r="L61" s="35" t="str">
        <f t="shared" si="2"/>
        <v>USD,20210629,249000,252040,248890,249650,1,1,1</v>
      </c>
    </row>
    <row r="62" spans="1:12">
      <c r="A62" s="196">
        <v>244500</v>
      </c>
      <c r="B62" s="196">
        <v>242290</v>
      </c>
      <c r="C62" s="196">
        <v>248640</v>
      </c>
      <c r="D62" s="196">
        <v>247120</v>
      </c>
      <c r="E62">
        <v>350</v>
      </c>
      <c r="F62" s="87">
        <v>1.4E-3</v>
      </c>
      <c r="G62" s="142">
        <v>44375</v>
      </c>
      <c r="H62" t="s">
        <v>6199</v>
      </c>
      <c r="I62" s="35" t="s">
        <v>6188</v>
      </c>
      <c r="L62" s="35" t="str">
        <f t="shared" si="2"/>
        <v>USD,20210628,246360,248640,246290,247120,1,1,1</v>
      </c>
    </row>
    <row r="63" spans="1:12">
      <c r="A63" s="196">
        <v>241690</v>
      </c>
      <c r="B63" s="196">
        <v>241190</v>
      </c>
      <c r="C63" s="196">
        <v>246940</v>
      </c>
      <c r="D63" s="196">
        <v>246770</v>
      </c>
      <c r="E63">
        <v>2230</v>
      </c>
      <c r="F63" s="87">
        <v>9.1000000000000004E-3</v>
      </c>
      <c r="G63" s="142">
        <v>44374</v>
      </c>
      <c r="H63" t="s">
        <v>6200</v>
      </c>
      <c r="I63" s="35" t="s">
        <v>6188</v>
      </c>
      <c r="L63" s="35" t="str">
        <f t="shared" si="2"/>
        <v>USD,20210627,243490,246940,243490,246770,1,1,1</v>
      </c>
    </row>
    <row r="64" spans="1:12">
      <c r="A64" s="196">
        <v>243310</v>
      </c>
      <c r="B64" s="196">
        <v>240790</v>
      </c>
      <c r="C64" s="196">
        <v>245940</v>
      </c>
      <c r="D64" s="196">
        <v>244540</v>
      </c>
      <c r="E64">
        <v>2650</v>
      </c>
      <c r="F64" s="87">
        <v>1.0999999999999999E-2</v>
      </c>
      <c r="G64" s="142">
        <v>44373</v>
      </c>
      <c r="H64" t="s">
        <v>6201</v>
      </c>
      <c r="I64" s="35" t="s">
        <v>6188</v>
      </c>
      <c r="L64" s="35" t="str">
        <f t="shared" si="2"/>
        <v>USD,20210626,244500,245940,242290,244540,1,1,1</v>
      </c>
    </row>
    <row r="65" spans="1:12">
      <c r="A65" s="196">
        <v>241190</v>
      </c>
      <c r="B65" s="196">
        <v>241190</v>
      </c>
      <c r="C65" s="196">
        <v>242440</v>
      </c>
      <c r="D65" s="196">
        <v>241890</v>
      </c>
      <c r="E65">
        <v>100</v>
      </c>
      <c r="F65" s="87">
        <v>4.0000000000000002E-4</v>
      </c>
      <c r="G65" s="142">
        <v>44371</v>
      </c>
      <c r="H65" t="s">
        <v>6202</v>
      </c>
      <c r="I65" s="35" t="s">
        <v>6188</v>
      </c>
      <c r="L65" s="35" t="str">
        <f t="shared" si="2"/>
        <v>USD,20210624,241690,242440,241190,241890,1,1,1</v>
      </c>
    </row>
    <row r="66" spans="1:12">
      <c r="A66" s="196">
        <v>239940</v>
      </c>
      <c r="B66" s="196">
        <v>239190</v>
      </c>
      <c r="C66" s="196">
        <v>243340</v>
      </c>
      <c r="D66" s="196">
        <v>241790</v>
      </c>
      <c r="E66">
        <v>880</v>
      </c>
      <c r="F66" s="87">
        <v>3.5999999999999999E-3</v>
      </c>
      <c r="G66" s="142">
        <v>44370</v>
      </c>
      <c r="H66" t="s">
        <v>6203</v>
      </c>
      <c r="I66" s="35" t="s">
        <v>6188</v>
      </c>
      <c r="L66" s="35" t="str">
        <f t="shared" si="2"/>
        <v>USD,20210623,243310,243340,240790,241790,1,1,1</v>
      </c>
    </row>
    <row r="67" spans="1:12">
      <c r="A67" s="196">
        <v>234810</v>
      </c>
      <c r="B67" s="196">
        <v>234690</v>
      </c>
      <c r="C67" s="196">
        <v>243140</v>
      </c>
      <c r="D67" s="196">
        <v>242670</v>
      </c>
      <c r="E67">
        <v>1680</v>
      </c>
      <c r="F67" s="87">
        <v>7.0000000000000001E-3</v>
      </c>
      <c r="G67" s="142">
        <v>44369</v>
      </c>
      <c r="H67" t="s">
        <v>6204</v>
      </c>
      <c r="I67" s="35" t="s">
        <v>6188</v>
      </c>
      <c r="L67" s="35" t="str">
        <f t="shared" si="2"/>
        <v>USD,20210622,241190,243140,241190,242670,1,1,1</v>
      </c>
    </row>
    <row r="68" spans="1:12">
      <c r="A68" s="196">
        <v>244490</v>
      </c>
      <c r="B68" s="196">
        <v>234690</v>
      </c>
      <c r="C68" s="196">
        <v>241440</v>
      </c>
      <c r="D68" s="196">
        <v>240990</v>
      </c>
      <c r="E68">
        <v>1390</v>
      </c>
      <c r="F68" s="87">
        <v>5.7999999999999996E-3</v>
      </c>
      <c r="G68" s="142">
        <v>44368</v>
      </c>
      <c r="H68" t="s">
        <v>6205</v>
      </c>
      <c r="I68" s="35" t="s">
        <v>6188</v>
      </c>
      <c r="L68" s="35" t="str">
        <f t="shared" si="2"/>
        <v>USD,20210621,239940,241440,239190,240990,1,1,1</v>
      </c>
    </row>
    <row r="69" spans="1:12">
      <c r="A69" s="196">
        <v>242010</v>
      </c>
      <c r="B69" s="196">
        <v>241950</v>
      </c>
      <c r="C69" s="196">
        <v>240440</v>
      </c>
      <c r="D69" s="196">
        <v>239600</v>
      </c>
      <c r="E69">
        <v>4710</v>
      </c>
      <c r="F69" s="87">
        <v>2.01E-2</v>
      </c>
      <c r="G69" s="142">
        <v>44367</v>
      </c>
      <c r="H69" t="s">
        <v>6206</v>
      </c>
      <c r="I69" s="35" t="s">
        <v>6188</v>
      </c>
      <c r="L69" s="35" t="str">
        <f t="shared" si="2"/>
        <v>USD,20210620,234810,240440,234690,239600,1,1,1</v>
      </c>
    </row>
    <row r="70" spans="1:12">
      <c r="A70" s="196">
        <v>240470</v>
      </c>
      <c r="B70" s="196">
        <v>239450</v>
      </c>
      <c r="C70" s="196">
        <v>244640</v>
      </c>
      <c r="D70" s="196">
        <v>234890</v>
      </c>
      <c r="E70">
        <v>9400</v>
      </c>
      <c r="F70" s="234">
        <v>0.04</v>
      </c>
      <c r="G70" s="142">
        <v>44366</v>
      </c>
      <c r="H70" t="s">
        <v>6207</v>
      </c>
      <c r="I70" s="35" t="s">
        <v>6188</v>
      </c>
      <c r="L70" s="35" t="str">
        <f t="shared" si="2"/>
        <v>USD,20210619,244490,244640,234690,234890,1,1,1</v>
      </c>
    </row>
    <row r="71" spans="1:12">
      <c r="A71" s="196">
        <v>239970</v>
      </c>
      <c r="B71" s="196">
        <v>239950</v>
      </c>
      <c r="C71" s="196">
        <v>244640</v>
      </c>
      <c r="D71" s="196">
        <v>244290</v>
      </c>
      <c r="E71">
        <v>2540</v>
      </c>
      <c r="F71" s="87">
        <v>1.0500000000000001E-2</v>
      </c>
      <c r="G71" s="142">
        <v>44364</v>
      </c>
      <c r="H71" t="s">
        <v>6208</v>
      </c>
      <c r="I71" s="35" t="s">
        <v>6188</v>
      </c>
      <c r="L71" s="35" t="str">
        <f t="shared" si="2"/>
        <v>USD,20210617,242010,244640,241950,244290,1,1,1</v>
      </c>
    </row>
    <row r="72" spans="1:12">
      <c r="A72" s="196">
        <v>240970</v>
      </c>
      <c r="B72" s="196">
        <v>238550</v>
      </c>
      <c r="C72" s="196">
        <v>242250</v>
      </c>
      <c r="D72" s="196">
        <v>241750</v>
      </c>
      <c r="E72">
        <v>1260</v>
      </c>
      <c r="F72" s="87">
        <v>5.1999999999999998E-3</v>
      </c>
      <c r="G72" s="142">
        <v>44363</v>
      </c>
      <c r="H72" t="s">
        <v>6209</v>
      </c>
      <c r="I72" s="35" t="s">
        <v>6188</v>
      </c>
      <c r="L72" s="35" t="str">
        <f t="shared" si="2"/>
        <v>USD,20210616,240470,242250,239450,241750,1,1,1</v>
      </c>
    </row>
    <row r="73" spans="1:12">
      <c r="A73" s="196">
        <v>238970</v>
      </c>
      <c r="B73" s="196">
        <v>238940</v>
      </c>
      <c r="C73" s="196">
        <v>240050</v>
      </c>
      <c r="D73" s="196">
        <v>240490</v>
      </c>
      <c r="E73">
        <v>770</v>
      </c>
      <c r="F73" s="87">
        <v>3.2000000000000002E-3</v>
      </c>
      <c r="G73" s="142">
        <v>44362</v>
      </c>
      <c r="H73" t="s">
        <v>6210</v>
      </c>
      <c r="I73" s="35" t="s">
        <v>6188</v>
      </c>
      <c r="L73" s="35" t="str">
        <f t="shared" si="2"/>
        <v>USD,20210615,239970,240050,239950,240490,1,1,1</v>
      </c>
    </row>
    <row r="74" spans="1:12">
      <c r="A74" s="196">
        <v>236830</v>
      </c>
      <c r="B74" s="196">
        <v>236140</v>
      </c>
      <c r="C74" s="196">
        <v>241050</v>
      </c>
      <c r="D74" s="196">
        <v>239720</v>
      </c>
      <c r="E74">
        <v>1310</v>
      </c>
      <c r="F74" s="87">
        <v>5.4999999999999997E-3</v>
      </c>
      <c r="G74" s="142">
        <v>44361</v>
      </c>
      <c r="H74" t="s">
        <v>6211</v>
      </c>
      <c r="I74" s="35" t="s">
        <v>6188</v>
      </c>
      <c r="L74" s="35" t="str">
        <f t="shared" si="2"/>
        <v>USD,20210614,240970,241050,238550,239720,1,1,1</v>
      </c>
    </row>
    <row r="75" spans="1:12">
      <c r="A75" s="196">
        <v>240010</v>
      </c>
      <c r="B75" s="196">
        <v>239140</v>
      </c>
      <c r="C75" s="196">
        <v>241250</v>
      </c>
      <c r="D75" s="196">
        <v>241030</v>
      </c>
      <c r="E75">
        <v>3280</v>
      </c>
      <c r="F75" s="87">
        <v>1.38E-2</v>
      </c>
      <c r="G75" s="142">
        <v>44360</v>
      </c>
      <c r="H75" t="s">
        <v>6212</v>
      </c>
      <c r="I75" s="35" t="s">
        <v>6188</v>
      </c>
      <c r="L75" s="35" t="str">
        <f t="shared" si="2"/>
        <v>USD,20210613,238970,241250,238940,241030,1,1,1</v>
      </c>
    </row>
    <row r="76" spans="1:12">
      <c r="A76" s="196">
        <v>235480</v>
      </c>
      <c r="B76" s="196">
        <v>235440</v>
      </c>
      <c r="C76" s="196">
        <v>238350</v>
      </c>
      <c r="D76" s="196">
        <v>237750</v>
      </c>
      <c r="E76">
        <v>1480</v>
      </c>
      <c r="F76" s="87">
        <v>6.1999999999999998E-3</v>
      </c>
      <c r="G76" s="142">
        <v>44359</v>
      </c>
      <c r="H76" t="s">
        <v>6213</v>
      </c>
      <c r="I76" s="35" t="s">
        <v>6188</v>
      </c>
      <c r="L76" s="35" t="str">
        <f t="shared" si="2"/>
        <v>USD,20210612,236830,238350,236140,237750,1,1,1</v>
      </c>
    </row>
    <row r="77" spans="1:12">
      <c r="A77" s="196">
        <v>235890</v>
      </c>
      <c r="B77" s="196">
        <v>234820</v>
      </c>
      <c r="C77" s="196">
        <v>240450</v>
      </c>
      <c r="D77" s="196">
        <v>239230</v>
      </c>
      <c r="E77">
        <v>2210</v>
      </c>
      <c r="F77" s="87">
        <v>9.1999999999999998E-3</v>
      </c>
      <c r="G77" s="142">
        <v>44357</v>
      </c>
      <c r="H77" t="s">
        <v>6214</v>
      </c>
      <c r="I77" s="35" t="s">
        <v>6188</v>
      </c>
      <c r="L77" s="35" t="str">
        <f t="shared" si="2"/>
        <v>USD,20210610,240010,240450,239140,239230,1,1,1</v>
      </c>
    </row>
    <row r="78" spans="1:12">
      <c r="A78" s="196">
        <v>234340</v>
      </c>
      <c r="B78" s="196">
        <v>234240</v>
      </c>
      <c r="C78" s="196">
        <v>241550</v>
      </c>
      <c r="D78" s="196">
        <v>241440</v>
      </c>
      <c r="E78">
        <v>5950</v>
      </c>
      <c r="F78" s="87">
        <v>2.53E-2</v>
      </c>
      <c r="G78" s="142">
        <v>44356</v>
      </c>
      <c r="H78" t="s">
        <v>6215</v>
      </c>
      <c r="I78" s="35" t="s">
        <v>6188</v>
      </c>
      <c r="L78" s="35" t="str">
        <f t="shared" si="2"/>
        <v>USD,20210609,235480,241550,235440,241440,1,1,1</v>
      </c>
    </row>
    <row r="79" spans="1:12">
      <c r="A79" s="196">
        <v>234330</v>
      </c>
      <c r="B79" s="196">
        <v>233900</v>
      </c>
      <c r="C79" s="196">
        <v>235960</v>
      </c>
      <c r="D79" s="196">
        <v>235490</v>
      </c>
      <c r="E79">
        <v>460</v>
      </c>
      <c r="F79" s="87">
        <v>2E-3</v>
      </c>
      <c r="G79" s="142">
        <v>44355</v>
      </c>
      <c r="H79" t="s">
        <v>6216</v>
      </c>
      <c r="I79" s="35" t="s">
        <v>6188</v>
      </c>
      <c r="L79" s="35" t="str">
        <f t="shared" si="2"/>
        <v>USD,20210608,235890,235960,234820,235490,1,1,1</v>
      </c>
    </row>
    <row r="80" spans="1:12">
      <c r="A80" s="196">
        <v>234060</v>
      </c>
      <c r="B80" s="196">
        <v>228150</v>
      </c>
      <c r="C80" s="196">
        <v>235960</v>
      </c>
      <c r="D80" s="196">
        <v>235950</v>
      </c>
      <c r="E80">
        <v>1620</v>
      </c>
      <c r="F80" s="87">
        <v>6.8999999999999999E-3</v>
      </c>
      <c r="G80" s="142">
        <v>44354</v>
      </c>
      <c r="H80" t="s">
        <v>6217</v>
      </c>
      <c r="I80" s="35" t="s">
        <v>6188</v>
      </c>
      <c r="L80" s="35" t="str">
        <f t="shared" si="2"/>
        <v>USD,20210607,234340,235960,234240,235950,1,1,1</v>
      </c>
    </row>
    <row r="81" spans="1:12">
      <c r="A81" s="196">
        <v>234000</v>
      </c>
      <c r="B81" s="196">
        <v>233970</v>
      </c>
      <c r="C81" s="196">
        <v>234350</v>
      </c>
      <c r="D81" s="196">
        <v>234330</v>
      </c>
      <c r="E81">
        <v>90</v>
      </c>
      <c r="F81" s="87">
        <v>4.0000000000000002E-4</v>
      </c>
      <c r="G81" s="142">
        <v>44350</v>
      </c>
      <c r="H81" t="s">
        <v>6218</v>
      </c>
      <c r="I81" s="35" t="s">
        <v>6188</v>
      </c>
      <c r="L81" s="35" t="str">
        <f t="shared" si="2"/>
        <v>USD,20210603,234330,234350,233900,234330,1,1,1</v>
      </c>
    </row>
    <row r="82" spans="1:12">
      <c r="A82" s="196">
        <v>238590</v>
      </c>
      <c r="B82" s="196">
        <v>232950</v>
      </c>
      <c r="C82" s="196">
        <v>234360</v>
      </c>
      <c r="D82" s="196">
        <v>234240</v>
      </c>
      <c r="E82">
        <v>80</v>
      </c>
      <c r="F82" s="87">
        <v>2.9999999999999997E-4</v>
      </c>
      <c r="G82" s="142">
        <v>44349</v>
      </c>
      <c r="H82" t="s">
        <v>6219</v>
      </c>
      <c r="I82" s="35" t="s">
        <v>6188</v>
      </c>
      <c r="L82" s="35" t="str">
        <f t="shared" si="2"/>
        <v>USD,20210602,234060,234360,228150,234240,1,1,1</v>
      </c>
    </row>
    <row r="83" spans="1:12">
      <c r="A83" s="196">
        <v>234640</v>
      </c>
      <c r="B83" s="196">
        <v>234550</v>
      </c>
      <c r="C83" s="196">
        <v>238660</v>
      </c>
      <c r="D83" s="196">
        <v>234160</v>
      </c>
      <c r="E83">
        <v>100</v>
      </c>
      <c r="F83" s="87">
        <v>4.0000000000000002E-4</v>
      </c>
      <c r="G83" s="142">
        <v>44348</v>
      </c>
      <c r="H83" t="s">
        <v>6220</v>
      </c>
      <c r="I83" s="35" t="s">
        <v>6188</v>
      </c>
      <c r="L83" s="35" t="str">
        <f t="shared" si="2"/>
        <v>USD,20210601,234000,238660,233970,234160,1,1,1</v>
      </c>
    </row>
    <row r="84" spans="1:12">
      <c r="A84" s="196">
        <v>226560</v>
      </c>
      <c r="B84" s="196">
        <v>226460</v>
      </c>
      <c r="C84" s="196">
        <v>238660</v>
      </c>
      <c r="D84" s="196">
        <v>234060</v>
      </c>
      <c r="E84">
        <v>4510</v>
      </c>
      <c r="F84" s="87">
        <v>1.9300000000000001E-2</v>
      </c>
      <c r="G84" s="142">
        <v>44347</v>
      </c>
      <c r="H84" t="s">
        <v>6221</v>
      </c>
      <c r="I84" s="35" t="s">
        <v>6188</v>
      </c>
      <c r="L84" s="35" t="str">
        <f t="shared" si="2"/>
        <v>USD,20210531,238590,238660,232950,234060,1,1,1</v>
      </c>
    </row>
    <row r="85" spans="1:12">
      <c r="A85" s="196">
        <v>225260</v>
      </c>
      <c r="B85" s="196">
        <v>225170</v>
      </c>
      <c r="C85" s="196">
        <v>238660</v>
      </c>
      <c r="D85" s="196">
        <v>238570</v>
      </c>
      <c r="E85">
        <v>3910</v>
      </c>
      <c r="F85" s="87">
        <v>1.67E-2</v>
      </c>
      <c r="G85" s="142">
        <v>44346</v>
      </c>
      <c r="H85" t="s">
        <v>6222</v>
      </c>
      <c r="I85" s="35" t="s">
        <v>6188</v>
      </c>
      <c r="L85" s="35" t="str">
        <f t="shared" si="2"/>
        <v>USD,20210530,234640,238660,234550,238570,1,1,1</v>
      </c>
    </row>
    <row r="86" spans="1:12">
      <c r="A86" s="196">
        <v>224190</v>
      </c>
      <c r="B86" s="196">
        <v>224100</v>
      </c>
      <c r="C86" s="196">
        <v>234660</v>
      </c>
      <c r="D86" s="196">
        <v>234660</v>
      </c>
      <c r="E86" t="s">
        <v>6187</v>
      </c>
      <c r="F86" t="s">
        <v>6187</v>
      </c>
      <c r="G86" s="142">
        <v>44345</v>
      </c>
      <c r="H86" t="s">
        <v>6223</v>
      </c>
      <c r="I86" s="35" t="s">
        <v>6188</v>
      </c>
      <c r="L86" s="35" t="str">
        <f t="shared" si="2"/>
        <v>USD,20210529,226560,234660,226460,234660,1,1,1</v>
      </c>
    </row>
    <row r="87" spans="1:12">
      <c r="A87" s="196">
        <v>224120</v>
      </c>
      <c r="B87" s="196">
        <v>223150</v>
      </c>
      <c r="C87" s="196">
        <v>231470</v>
      </c>
      <c r="D87" s="196">
        <v>231470</v>
      </c>
      <c r="E87">
        <v>6310</v>
      </c>
      <c r="F87" s="87">
        <v>2.8000000000000001E-2</v>
      </c>
      <c r="G87" s="142">
        <v>44343</v>
      </c>
      <c r="H87" t="s">
        <v>6224</v>
      </c>
      <c r="I87" s="35" t="s">
        <v>6188</v>
      </c>
      <c r="L87" s="35" t="str">
        <f t="shared" si="2"/>
        <v>USD,20210527,225260,231470,225170,231470,1,1,1</v>
      </c>
    </row>
    <row r="88" spans="1:12">
      <c r="A88" s="196">
        <v>223590</v>
      </c>
      <c r="B88" s="196">
        <v>223490</v>
      </c>
      <c r="C88" s="196">
        <v>225270</v>
      </c>
      <c r="D88" s="196">
        <v>225160</v>
      </c>
      <c r="E88">
        <v>1060</v>
      </c>
      <c r="F88" s="87">
        <v>4.7000000000000002E-3</v>
      </c>
      <c r="G88" s="142">
        <v>44342</v>
      </c>
      <c r="H88" t="s">
        <v>6225</v>
      </c>
      <c r="I88" s="35" t="s">
        <v>6188</v>
      </c>
      <c r="L88" s="35" t="str">
        <f t="shared" si="2"/>
        <v>USD,20210526,224190,225270,224100,225160,1,1,1</v>
      </c>
    </row>
    <row r="89" spans="1:12">
      <c r="A89" s="196">
        <v>223440</v>
      </c>
      <c r="B89" s="196">
        <v>223390</v>
      </c>
      <c r="C89" s="196">
        <v>224430</v>
      </c>
      <c r="D89" s="196">
        <v>224100</v>
      </c>
      <c r="E89">
        <v>10</v>
      </c>
      <c r="F89" t="s">
        <v>6187</v>
      </c>
      <c r="G89" s="142">
        <v>44341</v>
      </c>
      <c r="H89" t="s">
        <v>6226</v>
      </c>
      <c r="I89" s="35" t="s">
        <v>6188</v>
      </c>
      <c r="L89" s="35" t="str">
        <f t="shared" si="2"/>
        <v>USD,20210525,224120,224430,223150,224100,1,1,1</v>
      </c>
    </row>
    <row r="90" spans="1:12">
      <c r="A90" s="196">
        <v>222980</v>
      </c>
      <c r="B90" s="196">
        <v>222930</v>
      </c>
      <c r="C90" s="196">
        <v>225110</v>
      </c>
      <c r="D90" s="196">
        <v>224110</v>
      </c>
      <c r="E90">
        <v>600</v>
      </c>
      <c r="F90" s="87">
        <v>2.7000000000000001E-3</v>
      </c>
      <c r="G90" s="142">
        <v>44340</v>
      </c>
      <c r="H90" t="s">
        <v>6227</v>
      </c>
      <c r="I90" s="35" t="s">
        <v>6188</v>
      </c>
      <c r="L90" s="35" t="str">
        <f t="shared" si="2"/>
        <v>USD,20210524,223590,225110,223490,224110,1,1,1</v>
      </c>
    </row>
    <row r="91" spans="1:12">
      <c r="A91" s="196">
        <v>223990</v>
      </c>
      <c r="B91" s="196">
        <v>222930</v>
      </c>
      <c r="C91" s="196">
        <v>223990</v>
      </c>
      <c r="D91" s="196">
        <v>223510</v>
      </c>
      <c r="E91">
        <v>20</v>
      </c>
      <c r="F91" s="87">
        <v>1E-4</v>
      </c>
      <c r="G91" s="142">
        <v>44339</v>
      </c>
      <c r="H91" t="s">
        <v>6228</v>
      </c>
      <c r="I91" s="35" t="s">
        <v>6188</v>
      </c>
      <c r="L91" s="35" t="str">
        <f t="shared" si="2"/>
        <v>USD,20210523,223440,223990,223390,223510,1,1,1</v>
      </c>
    </row>
    <row r="92" spans="1:12">
      <c r="A92" s="196">
        <v>225270</v>
      </c>
      <c r="B92" s="196">
        <v>221720</v>
      </c>
      <c r="C92" s="196">
        <v>223550</v>
      </c>
      <c r="D92" s="196">
        <v>223490</v>
      </c>
      <c r="E92">
        <v>490</v>
      </c>
      <c r="F92" s="87">
        <v>2.2000000000000001E-3</v>
      </c>
      <c r="G92" s="142">
        <v>44338</v>
      </c>
      <c r="H92" t="s">
        <v>6229</v>
      </c>
      <c r="I92" s="35" t="s">
        <v>6188</v>
      </c>
      <c r="L92" s="35" t="str">
        <f t="shared" si="2"/>
        <v>USD,20210522,222980,223550,222930,223490,1,1,1</v>
      </c>
    </row>
    <row r="93" spans="1:12">
      <c r="A93" s="196">
        <v>222240</v>
      </c>
      <c r="B93" s="196">
        <v>222140</v>
      </c>
      <c r="C93" s="196">
        <v>224020</v>
      </c>
      <c r="D93" s="196">
        <v>223000</v>
      </c>
      <c r="E93">
        <v>1210</v>
      </c>
      <c r="F93" s="87">
        <v>5.4999999999999997E-3</v>
      </c>
      <c r="G93" s="142">
        <v>44336</v>
      </c>
      <c r="H93" t="s">
        <v>6230</v>
      </c>
      <c r="I93" s="35" t="s">
        <v>6188</v>
      </c>
      <c r="L93" s="35" t="str">
        <f t="shared" si="2"/>
        <v>USD,20210520,223990,224020,222930,223000,1,1,1</v>
      </c>
    </row>
    <row r="94" spans="1:12">
      <c r="A94" s="196">
        <v>224160</v>
      </c>
      <c r="B94" s="196">
        <v>222140</v>
      </c>
      <c r="C94" s="196">
        <v>225380</v>
      </c>
      <c r="D94" s="196">
        <v>221790</v>
      </c>
      <c r="E94">
        <v>3550</v>
      </c>
      <c r="F94" s="87">
        <v>1.6E-2</v>
      </c>
      <c r="G94" s="142">
        <v>44335</v>
      </c>
      <c r="H94" t="s">
        <v>6231</v>
      </c>
      <c r="I94" s="35" t="s">
        <v>6188</v>
      </c>
      <c r="L94" s="35" t="str">
        <f t="shared" si="2"/>
        <v>USD,20210519,225270,225380,221720,221790,1,1,1</v>
      </c>
    </row>
    <row r="95" spans="1:12">
      <c r="A95" s="196">
        <v>220520</v>
      </c>
      <c r="B95" s="196">
        <v>220410</v>
      </c>
      <c r="C95" s="196">
        <v>225380</v>
      </c>
      <c r="D95" s="196">
        <v>225340</v>
      </c>
      <c r="E95">
        <v>3150</v>
      </c>
      <c r="F95" s="87">
        <v>1.4200000000000001E-2</v>
      </c>
      <c r="G95" s="142">
        <v>44334</v>
      </c>
      <c r="H95" t="s">
        <v>6233</v>
      </c>
      <c r="I95" s="35" t="s">
        <v>6188</v>
      </c>
      <c r="L95" s="35" t="str">
        <f t="shared" si="2"/>
        <v>USD,20210518,222240,225380,222140,225340,1,1,1</v>
      </c>
    </row>
    <row r="96" spans="1:12">
      <c r="A96" s="196">
        <v>220760</v>
      </c>
      <c r="B96" s="196">
        <v>220410</v>
      </c>
      <c r="C96" s="196">
        <v>225270</v>
      </c>
      <c r="D96" s="196">
        <v>222190</v>
      </c>
      <c r="E96">
        <v>1950</v>
      </c>
      <c r="F96" s="87">
        <v>8.8000000000000005E-3</v>
      </c>
      <c r="G96" s="142">
        <v>44333</v>
      </c>
      <c r="H96" t="s">
        <v>6234</v>
      </c>
      <c r="I96" s="35" t="s">
        <v>6188</v>
      </c>
      <c r="L96" s="35" t="str">
        <f t="shared" si="2"/>
        <v>USD,20210517,224160,225270,222140,222190,1,1,1</v>
      </c>
    </row>
    <row r="97" spans="1:12">
      <c r="A97" s="196">
        <v>219790</v>
      </c>
      <c r="B97" s="196">
        <v>216130</v>
      </c>
      <c r="C97" s="196">
        <v>224160</v>
      </c>
      <c r="D97" s="196">
        <v>224140</v>
      </c>
      <c r="E97">
        <v>3640</v>
      </c>
      <c r="F97" s="87">
        <v>1.6500000000000001E-2</v>
      </c>
      <c r="G97" s="142">
        <v>44332</v>
      </c>
      <c r="H97" t="s">
        <v>6235</v>
      </c>
      <c r="I97" s="35" t="s">
        <v>6188</v>
      </c>
      <c r="L97" s="35" t="str">
        <f t="shared" si="2"/>
        <v>USD,20210516,220520,224160,220410,224140,1,1,1</v>
      </c>
    </row>
    <row r="98" spans="1:12">
      <c r="A98" s="196">
        <v>221860</v>
      </c>
      <c r="B98" s="196">
        <v>219750</v>
      </c>
      <c r="C98" s="196">
        <v>221880</v>
      </c>
      <c r="D98" s="196">
        <v>220500</v>
      </c>
      <c r="E98">
        <v>4370</v>
      </c>
      <c r="F98" s="87">
        <v>2.0199999999999999E-2</v>
      </c>
      <c r="G98" s="142">
        <v>44331</v>
      </c>
      <c r="H98" t="s">
        <v>6236</v>
      </c>
      <c r="I98" s="35" t="s">
        <v>6188</v>
      </c>
      <c r="L98" s="35" t="str">
        <f t="shared" si="2"/>
        <v>USD,20210515,220760,221880,220410,220500,1,1,1</v>
      </c>
    </row>
    <row r="99" spans="1:12">
      <c r="A99" s="196">
        <v>216080</v>
      </c>
      <c r="B99" s="196">
        <v>216080</v>
      </c>
      <c r="C99" s="196">
        <v>219860</v>
      </c>
      <c r="D99" s="196">
        <v>216130</v>
      </c>
      <c r="E99">
        <v>3620</v>
      </c>
      <c r="F99" s="87">
        <v>1.67E-2</v>
      </c>
      <c r="G99" s="142">
        <v>44329</v>
      </c>
      <c r="H99" t="s">
        <v>6237</v>
      </c>
      <c r="I99" s="35" t="s">
        <v>6188</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6238</v>
      </c>
      <c r="I100" s="35" t="s">
        <v>6188</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6239</v>
      </c>
      <c r="I101" s="35" t="s">
        <v>6188</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6240</v>
      </c>
      <c r="I102" s="35" t="s">
        <v>6188</v>
      </c>
      <c r="L102" s="35" t="str">
        <f t="shared" si="2"/>
        <v>USD,20210510,207240,217040,207190,216130,1,1,1</v>
      </c>
    </row>
    <row r="103" spans="1:12">
      <c r="A103" s="196">
        <v>206440</v>
      </c>
      <c r="B103" s="196">
        <v>206370</v>
      </c>
      <c r="C103" s="196">
        <v>207300</v>
      </c>
      <c r="D103" s="196">
        <v>207260</v>
      </c>
      <c r="E103">
        <v>890</v>
      </c>
      <c r="F103" s="87">
        <v>4.3E-3</v>
      </c>
      <c r="G103" s="142">
        <v>44325</v>
      </c>
      <c r="H103" t="s">
        <v>6241</v>
      </c>
      <c r="I103" s="35" t="s">
        <v>6188</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6242</v>
      </c>
      <c r="I104" s="35" t="s">
        <v>6188</v>
      </c>
      <c r="L104" s="35" t="str">
        <f t="shared" si="2"/>
        <v>USD,20210508,206390,206480,206370,206370,1,1,1</v>
      </c>
    </row>
    <row r="105" spans="1:12">
      <c r="A105" s="196">
        <v>218430</v>
      </c>
      <c r="B105" s="196">
        <v>217260</v>
      </c>
      <c r="C105" s="196">
        <v>206480</v>
      </c>
      <c r="D105" s="196">
        <v>206480</v>
      </c>
      <c r="E105">
        <v>2970</v>
      </c>
      <c r="F105" s="87">
        <v>1.44E-2</v>
      </c>
      <c r="G105" s="142">
        <v>44322</v>
      </c>
      <c r="H105" t="s">
        <v>6243</v>
      </c>
      <c r="I105" s="35" t="s">
        <v>6188</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6244</v>
      </c>
      <c r="I106" s="35" t="s">
        <v>6188</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6245</v>
      </c>
      <c r="I107" s="35" t="s">
        <v>6188</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6246</v>
      </c>
      <c r="I108" s="35" t="s">
        <v>6188</v>
      </c>
      <c r="L108" s="35" t="str">
        <f t="shared" si="2"/>
        <v>USD,20210502,229110,229130,218380,218380,1,1,1</v>
      </c>
    </row>
    <row r="109" spans="1:12">
      <c r="A109" s="196">
        <v>232640</v>
      </c>
      <c r="B109" s="196">
        <v>232310</v>
      </c>
      <c r="C109" s="196">
        <v>232420</v>
      </c>
      <c r="D109" s="196">
        <v>229100</v>
      </c>
      <c r="E109">
        <v>3210</v>
      </c>
      <c r="F109" s="87">
        <v>1.4E-2</v>
      </c>
      <c r="G109" s="142">
        <v>44317</v>
      </c>
      <c r="H109" t="s">
        <v>6247</v>
      </c>
      <c r="I109" s="35" t="s">
        <v>6188</v>
      </c>
      <c r="L109" s="35" t="str">
        <f t="shared" si="2"/>
        <v>USD,20210501,232340,232420,229020,229100,1,1,1</v>
      </c>
    </row>
    <row r="110" spans="1:12">
      <c r="A110" s="196">
        <v>232770</v>
      </c>
      <c r="B110" s="196">
        <v>232540</v>
      </c>
      <c r="C110" s="196">
        <v>232420</v>
      </c>
      <c r="D110" s="196">
        <v>232310</v>
      </c>
      <c r="E110">
        <v>20</v>
      </c>
      <c r="F110" s="87">
        <v>1E-4</v>
      </c>
      <c r="G110" s="142">
        <v>44315</v>
      </c>
      <c r="H110" t="s">
        <v>6248</v>
      </c>
      <c r="I110" s="35" t="s">
        <v>6188</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6249</v>
      </c>
      <c r="I111" s="35" t="s">
        <v>6188</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6250</v>
      </c>
      <c r="I112" s="35" t="s">
        <v>6188</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6251</v>
      </c>
      <c r="I113" s="35" t="s">
        <v>6188</v>
      </c>
      <c r="L113" s="35" t="str">
        <f t="shared" si="2"/>
        <v>USD,20210426,233380,233390,232750,232760,1,1,1</v>
      </c>
    </row>
    <row r="114" spans="1:12">
      <c r="A114" s="196">
        <v>233750</v>
      </c>
      <c r="B114" s="196">
        <v>233280</v>
      </c>
      <c r="C114" s="196">
        <v>233390</v>
      </c>
      <c r="D114" s="196">
        <v>233390</v>
      </c>
      <c r="E114">
        <v>20</v>
      </c>
      <c r="F114" s="87">
        <v>1E-4</v>
      </c>
      <c r="G114" s="142">
        <v>44311</v>
      </c>
      <c r="H114" t="s">
        <v>6252</v>
      </c>
      <c r="I114" s="35" t="s">
        <v>6188</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6253</v>
      </c>
      <c r="I115" s="35" t="s">
        <v>6188</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6232</v>
      </c>
      <c r="I116" s="35" t="s">
        <v>6188</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6254</v>
      </c>
      <c r="I117" s="35" t="s">
        <v>6188</v>
      </c>
      <c r="L117" s="35" t="str">
        <f t="shared" si="2"/>
        <v>USD,20210421,233650,233750,233640,233690,1,1,1</v>
      </c>
    </row>
    <row r="118" spans="1:12">
      <c r="A118" s="196">
        <v>239900</v>
      </c>
      <c r="B118" s="196">
        <v>238750</v>
      </c>
      <c r="C118" s="196">
        <v>238280</v>
      </c>
      <c r="D118" s="196">
        <v>233740</v>
      </c>
      <c r="E118">
        <v>4430</v>
      </c>
      <c r="F118" s="87">
        <v>1.9E-2</v>
      </c>
      <c r="G118" s="142">
        <v>44306</v>
      </c>
      <c r="H118" t="s">
        <v>6255</v>
      </c>
      <c r="I118" s="35" t="s">
        <v>6188</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6256</v>
      </c>
      <c r="I119" s="35" t="s">
        <v>6188</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6257</v>
      </c>
      <c r="I120" s="35" t="s">
        <v>6188</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6258</v>
      </c>
      <c r="I121" s="35" t="s">
        <v>6188</v>
      </c>
      <c r="L121" s="35" t="str">
        <f t="shared" si="3"/>
        <v>USD,20210417,239930,240000,239860,239930,1,1,1</v>
      </c>
    </row>
    <row r="122" spans="1:12">
      <c r="A122" s="196">
        <v>243020</v>
      </c>
      <c r="B122" s="196">
        <v>240790</v>
      </c>
      <c r="C122" s="196">
        <v>241010</v>
      </c>
      <c r="D122" s="196">
        <v>239870</v>
      </c>
      <c r="E122">
        <v>2480</v>
      </c>
      <c r="F122" s="87">
        <v>1.03E-2</v>
      </c>
      <c r="G122" s="142">
        <v>44301</v>
      </c>
      <c r="H122" t="s">
        <v>6259</v>
      </c>
      <c r="I122" s="35" t="s">
        <v>6188</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6260</v>
      </c>
      <c r="I123" s="35" t="s">
        <v>6188</v>
      </c>
      <c r="L123" s="35" t="str">
        <f t="shared" si="3"/>
        <v>USD,20210414,240800,242390,240790,242350,1,1,1</v>
      </c>
    </row>
    <row r="124" spans="1:12">
      <c r="A124" s="196">
        <v>241950</v>
      </c>
      <c r="B124" s="196">
        <v>241860</v>
      </c>
      <c r="C124" s="196">
        <v>243060</v>
      </c>
      <c r="D124" s="196">
        <v>240900</v>
      </c>
      <c r="E124">
        <v>2060</v>
      </c>
      <c r="F124" s="87">
        <v>8.6E-3</v>
      </c>
      <c r="G124" s="142">
        <v>44299</v>
      </c>
      <c r="H124" t="s">
        <v>6261</v>
      </c>
      <c r="I124" s="35" t="s">
        <v>6188</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6262</v>
      </c>
      <c r="I125" s="35" t="s">
        <v>6188</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6263</v>
      </c>
      <c r="I126" s="35" t="s">
        <v>6188</v>
      </c>
      <c r="L126" s="35" t="str">
        <f t="shared" si="3"/>
        <v>USD,20210411,241950,243930,241860,242850,1,1,1</v>
      </c>
    </row>
    <row r="127" spans="1:12">
      <c r="A127" s="196">
        <v>247150</v>
      </c>
      <c r="B127" s="196">
        <v>244620</v>
      </c>
      <c r="C127" s="196">
        <v>243570</v>
      </c>
      <c r="D127" s="196">
        <v>241880</v>
      </c>
      <c r="E127">
        <v>2780</v>
      </c>
      <c r="F127" s="87">
        <v>1.15E-2</v>
      </c>
      <c r="G127" s="142">
        <v>44296</v>
      </c>
      <c r="H127" t="s">
        <v>6264</v>
      </c>
      <c r="I127" s="35" t="s">
        <v>6188</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6265</v>
      </c>
      <c r="I128" s="35" t="s">
        <v>6188</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6266</v>
      </c>
      <c r="I129" s="35" t="s">
        <v>6188</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6267</v>
      </c>
      <c r="I130" s="35" t="s">
        <v>6188</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6268</v>
      </c>
      <c r="I131" s="35" t="s">
        <v>6188</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6269</v>
      </c>
      <c r="I132" s="35" t="s">
        <v>6188</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6270</v>
      </c>
      <c r="I133" s="35" t="s">
        <v>6188</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6271</v>
      </c>
      <c r="I134" s="35" t="s">
        <v>6188</v>
      </c>
      <c r="L134" s="35" t="str">
        <f t="shared" si="3"/>
        <v>USD,20210401,252040,252100,251990,252100,1,1,1</v>
      </c>
    </row>
    <row r="135" spans="1:12">
      <c r="A135" s="196">
        <v>247510</v>
      </c>
      <c r="B135" s="196">
        <v>247470</v>
      </c>
      <c r="C135" s="196">
        <v>252550</v>
      </c>
      <c r="D135" s="196">
        <v>252040</v>
      </c>
      <c r="E135">
        <v>500</v>
      </c>
      <c r="F135" s="87">
        <v>2E-3</v>
      </c>
      <c r="G135" s="142">
        <v>44286</v>
      </c>
      <c r="H135" t="s">
        <v>6272</v>
      </c>
      <c r="I135" s="35" t="s">
        <v>6188</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6273</v>
      </c>
      <c r="I136" s="35" t="s">
        <v>6188</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6274</v>
      </c>
      <c r="I137" s="35" t="s">
        <v>6188</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6275</v>
      </c>
      <c r="I138" s="35" t="s">
        <v>6188</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6276</v>
      </c>
      <c r="I139" s="35" t="s">
        <v>6188</v>
      </c>
      <c r="L139" s="35" t="str">
        <f t="shared" si="3"/>
        <v>USD,20210318,240410,240430,239550,239630,1,1,1</v>
      </c>
    </row>
    <row r="140" spans="1:12">
      <c r="A140" s="196">
        <v>239200</v>
      </c>
      <c r="B140" s="196">
        <v>239100</v>
      </c>
      <c r="C140" s="196">
        <v>240950</v>
      </c>
      <c r="D140" s="196">
        <v>240400</v>
      </c>
      <c r="E140">
        <v>490</v>
      </c>
      <c r="F140" s="87">
        <v>2E-3</v>
      </c>
      <c r="G140" s="142">
        <v>44272</v>
      </c>
      <c r="H140" t="s">
        <v>6277</v>
      </c>
      <c r="I140" s="35" t="s">
        <v>6188</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5976</v>
      </c>
      <c r="I141" s="35" t="s">
        <v>6188</v>
      </c>
      <c r="L141" s="35" t="str">
        <f t="shared" si="3"/>
        <v>USD,20210316,239200,241380,239100,240890,1,1,1</v>
      </c>
    </row>
    <row r="142" spans="1:12">
      <c r="A142" s="196">
        <v>242400</v>
      </c>
      <c r="B142" s="196">
        <v>241770</v>
      </c>
      <c r="C142" s="196">
        <v>239210</v>
      </c>
      <c r="D142" s="196">
        <v>239170</v>
      </c>
      <c r="E142" t="s">
        <v>6187</v>
      </c>
      <c r="F142" t="s">
        <v>6187</v>
      </c>
      <c r="G142" s="142">
        <v>44270</v>
      </c>
      <c r="H142" t="s">
        <v>5979</v>
      </c>
      <c r="I142" s="35" t="s">
        <v>6188</v>
      </c>
      <c r="L142" s="35" t="str">
        <f t="shared" si="3"/>
        <v>USD,20210315,239200,239210,239100,239170,1,1,1</v>
      </c>
    </row>
    <row r="143" spans="1:12">
      <c r="A143" s="196">
        <v>242100</v>
      </c>
      <c r="B143" s="196">
        <v>241240</v>
      </c>
      <c r="C143" s="196">
        <v>241880</v>
      </c>
      <c r="D143" s="196">
        <v>239170</v>
      </c>
      <c r="E143">
        <v>2600</v>
      </c>
      <c r="F143" s="87">
        <v>1.09E-2</v>
      </c>
      <c r="G143" s="142">
        <v>44269</v>
      </c>
      <c r="H143" t="s">
        <v>6278</v>
      </c>
      <c r="I143" s="35" t="s">
        <v>6188</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6279</v>
      </c>
      <c r="I144" s="35" t="s">
        <v>6188</v>
      </c>
      <c r="L144" s="35" t="str">
        <f t="shared" si="3"/>
        <v>USD,20210313,242400,243850,241770,241770,1,1,1</v>
      </c>
    </row>
    <row r="145" spans="1:12">
      <c r="A145" s="196">
        <v>239960</v>
      </c>
      <c r="B145" s="196">
        <v>239850</v>
      </c>
      <c r="C145" s="196">
        <v>242710</v>
      </c>
      <c r="D145" s="196">
        <v>242420</v>
      </c>
      <c r="E145">
        <v>350</v>
      </c>
      <c r="F145" s="87">
        <v>1.4E-3</v>
      </c>
      <c r="G145" s="142">
        <v>44265</v>
      </c>
      <c r="H145" t="s">
        <v>5978</v>
      </c>
      <c r="I145" s="35" t="s">
        <v>6188</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6092</v>
      </c>
      <c r="I146" s="35" t="s">
        <v>6188</v>
      </c>
      <c r="L146" s="35" t="str">
        <f t="shared" si="3"/>
        <v>USD,20210309,243240,244280,241050,242070,1,1,1</v>
      </c>
    </row>
    <row r="147" spans="1:12">
      <c r="A147" s="196">
        <v>246580</v>
      </c>
      <c r="B147" s="196">
        <v>242700</v>
      </c>
      <c r="C147" s="196">
        <v>244610</v>
      </c>
      <c r="D147" s="196">
        <v>243210</v>
      </c>
      <c r="E147">
        <v>3310</v>
      </c>
      <c r="F147" s="87">
        <v>1.38E-2</v>
      </c>
      <c r="G147" s="142">
        <v>44263</v>
      </c>
      <c r="H147" t="s">
        <v>6280</v>
      </c>
      <c r="I147" s="35" t="s">
        <v>6188</v>
      </c>
      <c r="L147" s="35" t="str">
        <f t="shared" si="3"/>
        <v>USD,20210308,239960,244610,239850,243210,1,1,1</v>
      </c>
    </row>
    <row r="148" spans="1:12">
      <c r="A148" s="196">
        <v>246700</v>
      </c>
      <c r="B148" s="196">
        <v>246530</v>
      </c>
      <c r="C148" s="196">
        <v>242810</v>
      </c>
      <c r="D148" s="196">
        <v>239900</v>
      </c>
      <c r="E148">
        <v>2810</v>
      </c>
      <c r="F148" s="87">
        <v>1.17E-2</v>
      </c>
      <c r="G148" s="142">
        <v>44262</v>
      </c>
      <c r="H148" t="s">
        <v>6281</v>
      </c>
      <c r="I148" s="35" t="s">
        <v>6188</v>
      </c>
      <c r="L148" s="35" t="str">
        <f t="shared" si="3"/>
        <v>USD,20210307,242800,242810,239850,239900,1,1,1</v>
      </c>
    </row>
    <row r="149" spans="1:12">
      <c r="A149" s="196">
        <v>244330</v>
      </c>
      <c r="B149" s="196">
        <v>244330</v>
      </c>
      <c r="C149" s="196">
        <v>246770</v>
      </c>
      <c r="D149" s="196">
        <v>242710</v>
      </c>
      <c r="E149">
        <v>3900</v>
      </c>
      <c r="F149" s="87">
        <v>1.61E-2</v>
      </c>
      <c r="G149" s="142">
        <v>44261</v>
      </c>
      <c r="H149" t="s">
        <v>6282</v>
      </c>
      <c r="I149" s="35" t="s">
        <v>6188</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6283</v>
      </c>
      <c r="I150" s="35" t="s">
        <v>6188</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6284</v>
      </c>
      <c r="I151" s="35" t="s">
        <v>6188</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6285</v>
      </c>
      <c r="I152" s="35" t="s">
        <v>6188</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6286</v>
      </c>
      <c r="I153" s="35" t="s">
        <v>6188</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6287</v>
      </c>
      <c r="I154" s="35" t="s">
        <v>6188</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6288</v>
      </c>
      <c r="I155" s="35" t="s">
        <v>6188</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6289</v>
      </c>
      <c r="I156" s="35" t="s">
        <v>6188</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6290</v>
      </c>
      <c r="I157" s="35" t="s">
        <v>6188</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6291</v>
      </c>
      <c r="I158" s="35" t="s">
        <v>6188</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6292</v>
      </c>
      <c r="I159" s="35" t="s">
        <v>6188</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6293</v>
      </c>
      <c r="I160" s="35" t="s">
        <v>6188</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6294</v>
      </c>
      <c r="I161" s="35" t="s">
        <v>6188</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6295</v>
      </c>
      <c r="I162" s="35" t="s">
        <v>6188</v>
      </c>
      <c r="L162" s="35" t="str">
        <f t="shared" si="3"/>
        <v>USD,20210217,249780,251850,249740,251750,1,1,1</v>
      </c>
    </row>
    <row r="163" spans="1:12">
      <c r="A163" s="196">
        <v>249830</v>
      </c>
      <c r="B163" s="196">
        <v>249740</v>
      </c>
      <c r="C163" s="196">
        <v>249850</v>
      </c>
      <c r="D163" s="196">
        <v>249740</v>
      </c>
      <c r="E163" t="s">
        <v>6187</v>
      </c>
      <c r="F163" t="s">
        <v>6187</v>
      </c>
      <c r="G163" s="142">
        <v>44243</v>
      </c>
      <c r="H163" t="s">
        <v>6296</v>
      </c>
      <c r="I163" s="35" t="s">
        <v>6188</v>
      </c>
      <c r="L163" s="35" t="str">
        <f t="shared" si="3"/>
        <v>USD,20210216,249820,249850,249740,249740,1,1,1</v>
      </c>
    </row>
    <row r="164" spans="1:12">
      <c r="A164" s="196">
        <v>247040</v>
      </c>
      <c r="B164" s="196">
        <v>246940</v>
      </c>
      <c r="C164" s="196">
        <v>249850</v>
      </c>
      <c r="D164" s="196">
        <v>249740</v>
      </c>
      <c r="E164">
        <v>30</v>
      </c>
      <c r="F164" s="87">
        <v>1E-4</v>
      </c>
      <c r="G164" s="142">
        <v>44242</v>
      </c>
      <c r="H164" t="s">
        <v>6297</v>
      </c>
      <c r="I164" s="35" t="s">
        <v>6188</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6298</v>
      </c>
      <c r="I165" s="35" t="s">
        <v>6188</v>
      </c>
      <c r="L165" s="35" t="str">
        <f t="shared" si="3"/>
        <v>USD,20210214,249830,249850,249740,249770,1,1,1</v>
      </c>
    </row>
    <row r="166" spans="1:12">
      <c r="A166" s="196">
        <v>238970</v>
      </c>
      <c r="B166" s="196">
        <v>238940</v>
      </c>
      <c r="C166" s="196">
        <v>249850</v>
      </c>
      <c r="D166" s="196">
        <v>249810</v>
      </c>
      <c r="E166">
        <v>2850</v>
      </c>
      <c r="F166" s="87">
        <v>1.15E-2</v>
      </c>
      <c r="G166" s="142">
        <v>44240</v>
      </c>
      <c r="H166" t="s">
        <v>6299</v>
      </c>
      <c r="I166" s="35" t="s">
        <v>6188</v>
      </c>
      <c r="L166" s="35" t="str">
        <f t="shared" si="3"/>
        <v>USD,20210213,247040,249850,246940,249810,1,1,1</v>
      </c>
    </row>
    <row r="167" spans="1:12">
      <c r="A167" s="196">
        <v>237050</v>
      </c>
      <c r="B167" s="196">
        <v>236940</v>
      </c>
      <c r="C167" s="196">
        <v>247050</v>
      </c>
      <c r="D167" s="196">
        <v>246960</v>
      </c>
      <c r="E167">
        <v>5930</v>
      </c>
      <c r="F167" s="87">
        <v>2.46E-2</v>
      </c>
      <c r="G167" s="142">
        <v>44238</v>
      </c>
      <c r="H167" t="s">
        <v>6300</v>
      </c>
      <c r="I167" s="35" t="s">
        <v>6188</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6301</v>
      </c>
      <c r="I168" s="35" t="s">
        <v>6188</v>
      </c>
      <c r="L168" s="35" t="str">
        <f t="shared" si="3"/>
        <v>USD,20210209,238970,241050,238940,241030,1,1,1</v>
      </c>
    </row>
    <row r="169" spans="1:12">
      <c r="A169" s="196">
        <v>237520</v>
      </c>
      <c r="B169" s="196">
        <v>237440</v>
      </c>
      <c r="C169" s="196">
        <v>237050</v>
      </c>
      <c r="D169" s="196">
        <v>236940</v>
      </c>
      <c r="E169">
        <v>20</v>
      </c>
      <c r="F169" s="87">
        <v>1E-4</v>
      </c>
      <c r="G169" s="142">
        <v>44235</v>
      </c>
      <c r="H169" t="s">
        <v>6302</v>
      </c>
      <c r="I169" s="35" t="s">
        <v>6188</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6303</v>
      </c>
      <c r="I170" s="35" t="s">
        <v>6188</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6304</v>
      </c>
      <c r="I171" s="35" t="s">
        <v>6188</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6305</v>
      </c>
      <c r="I172" s="35" t="s">
        <v>6188</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6306</v>
      </c>
      <c r="I173" s="35" t="s">
        <v>6188</v>
      </c>
      <c r="L173" s="35" t="str">
        <f t="shared" si="3"/>
        <v>USD,20210203,238680,238750,237640,237660,1,1,1</v>
      </c>
    </row>
    <row r="174" spans="1:12">
      <c r="A174" s="196">
        <v>237180</v>
      </c>
      <c r="B174" s="196">
        <v>237140</v>
      </c>
      <c r="C174" s="196">
        <v>238750</v>
      </c>
      <c r="D174" s="196">
        <v>238710</v>
      </c>
      <c r="E174">
        <v>10</v>
      </c>
      <c r="F174" t="s">
        <v>6187</v>
      </c>
      <c r="G174" s="142">
        <v>44229</v>
      </c>
      <c r="H174" t="s">
        <v>6307</v>
      </c>
      <c r="I174" s="35" t="s">
        <v>6188</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6308</v>
      </c>
      <c r="I175" s="35" t="s">
        <v>6188</v>
      </c>
      <c r="L175" s="35" t="str">
        <f t="shared" si="3"/>
        <v>USD,20210201,239170,239170,238640,238720,1,1,1</v>
      </c>
    </row>
    <row r="176" spans="1:12">
      <c r="A176" s="196">
        <v>234070</v>
      </c>
      <c r="B176" s="196">
        <v>232040</v>
      </c>
      <c r="C176" s="196">
        <v>239250</v>
      </c>
      <c r="D176" s="196">
        <v>239210</v>
      </c>
      <c r="E176">
        <v>2040</v>
      </c>
      <c r="F176" s="87">
        <v>8.6E-3</v>
      </c>
      <c r="G176" s="142">
        <v>44227</v>
      </c>
      <c r="H176" t="s">
        <v>6309</v>
      </c>
      <c r="I176" s="35" t="s">
        <v>6188</v>
      </c>
      <c r="L176" s="35" t="str">
        <f t="shared" si="3"/>
        <v>USD,20210131,237180,239250,237140,239210,1,1,1</v>
      </c>
    </row>
    <row r="177" spans="1:12">
      <c r="A177" s="196">
        <v>229150</v>
      </c>
      <c r="B177" s="196">
        <v>229140</v>
      </c>
      <c r="C177" s="196">
        <v>237250</v>
      </c>
      <c r="D177" s="196">
        <v>237170</v>
      </c>
      <c r="E177">
        <v>5060</v>
      </c>
      <c r="F177" s="87">
        <v>2.18E-2</v>
      </c>
      <c r="G177" s="142">
        <v>44226</v>
      </c>
      <c r="H177" t="s">
        <v>6310</v>
      </c>
      <c r="I177" s="35" t="s">
        <v>6188</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6311</v>
      </c>
      <c r="I178" s="35" t="s">
        <v>6188</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6312</v>
      </c>
      <c r="I179" s="35" t="s">
        <v>6188</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6313</v>
      </c>
      <c r="I180" s="35" t="s">
        <v>6188</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6314</v>
      </c>
      <c r="I181" s="35" t="s">
        <v>6188</v>
      </c>
      <c r="L181" s="35" t="str">
        <f t="shared" si="3"/>
        <v>USD,20210125,224250,229750,224240,229660,1,1,1</v>
      </c>
    </row>
    <row r="182" spans="1:12">
      <c r="A182" s="196">
        <v>226510</v>
      </c>
      <c r="B182" s="196">
        <v>226440</v>
      </c>
      <c r="C182" s="196">
        <v>224350</v>
      </c>
      <c r="D182" s="196">
        <v>224340</v>
      </c>
      <c r="E182">
        <v>20</v>
      </c>
      <c r="F182" s="87">
        <v>1E-4</v>
      </c>
      <c r="G182" s="142">
        <v>44220</v>
      </c>
      <c r="H182" t="s">
        <v>6315</v>
      </c>
      <c r="I182" s="35" t="s">
        <v>6188</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6316</v>
      </c>
      <c r="I183" s="35" t="s">
        <v>6188</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6317</v>
      </c>
      <c r="I184" s="35" t="s">
        <v>6188</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6318</v>
      </c>
      <c r="I185" s="35" t="s">
        <v>6188</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6319</v>
      </c>
      <c r="I186" s="35" t="s">
        <v>6188</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6320</v>
      </c>
      <c r="I187" s="35" t="s">
        <v>6188</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6321</v>
      </c>
      <c r="I188" s="35" t="s">
        <v>6188</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6322</v>
      </c>
      <c r="I189" s="35" t="s">
        <v>6188</v>
      </c>
      <c r="L189" s="35" t="str">
        <f t="shared" si="4"/>
        <v>USD,20210114,242870,242950,239440,239530,1,1,1</v>
      </c>
    </row>
    <row r="190" spans="1:12">
      <c r="A190" s="196">
        <v>248450</v>
      </c>
      <c r="B190" s="196">
        <v>248440</v>
      </c>
      <c r="C190" s="196">
        <v>248550</v>
      </c>
      <c r="D190" s="196">
        <v>244980</v>
      </c>
      <c r="E190">
        <v>3460</v>
      </c>
      <c r="F190" s="87">
        <v>1.41E-2</v>
      </c>
      <c r="G190" s="142">
        <v>44209</v>
      </c>
      <c r="H190" t="s">
        <v>6323</v>
      </c>
      <c r="I190" s="35" t="s">
        <v>6188</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6324</v>
      </c>
      <c r="I191" s="35" t="s">
        <v>6188</v>
      </c>
      <c r="L191" s="35" t="str">
        <f t="shared" si="4"/>
        <v>USD,20210112,248540,248550,248440,248440,1,1,1</v>
      </c>
    </row>
    <row r="192" spans="1:12">
      <c r="A192" s="196">
        <v>255550</v>
      </c>
      <c r="B192" s="196">
        <v>248640</v>
      </c>
      <c r="C192" s="196">
        <v>249550</v>
      </c>
      <c r="D192" s="196">
        <v>248490</v>
      </c>
      <c r="E192">
        <v>30</v>
      </c>
      <c r="F192" s="87">
        <v>1E-4</v>
      </c>
      <c r="G192" s="142">
        <v>44207</v>
      </c>
      <c r="H192" t="s">
        <v>6325</v>
      </c>
      <c r="I192" s="35" t="s">
        <v>6188</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6326</v>
      </c>
      <c r="I193" s="35" t="s">
        <v>6188</v>
      </c>
      <c r="L193" s="35" t="str">
        <f t="shared" si="4"/>
        <v>USD,20210110,248690,248690,245840,248520,1,1,1</v>
      </c>
    </row>
    <row r="194" spans="1:12">
      <c r="A194" s="196">
        <v>259030</v>
      </c>
      <c r="B194" s="196">
        <v>258440</v>
      </c>
      <c r="C194" s="196">
        <v>255550</v>
      </c>
      <c r="D194" s="196">
        <v>248660</v>
      </c>
      <c r="E194">
        <v>6850</v>
      </c>
      <c r="F194" s="87">
        <v>2.75E-2</v>
      </c>
      <c r="G194" s="142">
        <v>44205</v>
      </c>
      <c r="H194" t="s">
        <v>6327</v>
      </c>
      <c r="I194" s="35" t="s">
        <v>6188</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6328</v>
      </c>
      <c r="I195" s="35" t="s">
        <v>6188</v>
      </c>
      <c r="L195" s="35" t="str">
        <f t="shared" si="4"/>
        <v>USD,20210107,257530,257550,255440,255510,1,1,1</v>
      </c>
    </row>
    <row r="196" spans="1:12">
      <c r="A196" s="196">
        <v>255650</v>
      </c>
      <c r="B196" s="196">
        <v>255640</v>
      </c>
      <c r="C196" s="196">
        <v>259050</v>
      </c>
      <c r="D196" s="196">
        <v>258540</v>
      </c>
      <c r="E196">
        <v>480</v>
      </c>
      <c r="F196" s="87">
        <v>1.9E-3</v>
      </c>
      <c r="G196" s="142">
        <v>44202</v>
      </c>
      <c r="H196" t="s">
        <v>6329</v>
      </c>
      <c r="I196" s="35" t="s">
        <v>6188</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6330</v>
      </c>
      <c r="I197" s="35" t="s">
        <v>6188</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6094</v>
      </c>
      <c r="I198" s="35" t="s">
        <v>6188</v>
      </c>
      <c r="L198" s="35" t="str">
        <f t="shared" si="4"/>
        <v>USD,20210104,255650,257750,255640,257640,1,1,1</v>
      </c>
    </row>
    <row r="199" spans="1:12">
      <c r="A199" s="196">
        <v>257020</v>
      </c>
      <c r="B199" s="196">
        <v>256940</v>
      </c>
      <c r="C199" s="196">
        <v>256250</v>
      </c>
      <c r="D199" s="196">
        <v>255670</v>
      </c>
      <c r="E199">
        <v>520</v>
      </c>
      <c r="F199" s="87">
        <v>2E-3</v>
      </c>
      <c r="G199" s="142">
        <v>44199</v>
      </c>
      <c r="H199" t="s">
        <v>6331</v>
      </c>
      <c r="I199" s="35" t="s">
        <v>6188</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6332</v>
      </c>
      <c r="I200" s="35" t="s">
        <v>6188</v>
      </c>
      <c r="L200" s="35" t="str">
        <f t="shared" si="4"/>
        <v>USD,20210102,256990,257050,256140,256190,1,1,1</v>
      </c>
    </row>
    <row r="201" spans="1:12">
      <c r="A201" s="196">
        <v>257440</v>
      </c>
      <c r="B201" s="196">
        <v>256940</v>
      </c>
      <c r="C201" s="196">
        <v>257050</v>
      </c>
      <c r="D201" s="196">
        <v>257010</v>
      </c>
      <c r="E201">
        <v>30</v>
      </c>
      <c r="F201" s="87">
        <v>1E-4</v>
      </c>
      <c r="G201" s="142">
        <v>44196</v>
      </c>
      <c r="H201" t="s">
        <v>6333</v>
      </c>
      <c r="I201" s="35" t="s">
        <v>6188</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6334</v>
      </c>
      <c r="I202" s="35" t="s">
        <v>6188</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6335</v>
      </c>
      <c r="I203" s="35" t="s">
        <v>6188</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6336</v>
      </c>
      <c r="I204" s="35" t="s">
        <v>6188</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6337</v>
      </c>
      <c r="I205" s="35" t="s">
        <v>6188</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6338</v>
      </c>
      <c r="I206" s="35" t="s">
        <v>6188</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6339</v>
      </c>
      <c r="I207" s="35" t="s">
        <v>6188</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6340</v>
      </c>
      <c r="I208" s="35" t="s">
        <v>6188</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6341</v>
      </c>
      <c r="I209" s="35" t="s">
        <v>6188</v>
      </c>
      <c r="L209" s="35" t="str">
        <f t="shared" si="4"/>
        <v>USD,20201222,254460,255250,254440,255160,1,1,1</v>
      </c>
    </row>
    <row r="210" spans="1:12">
      <c r="A210" s="196">
        <v>257440</v>
      </c>
      <c r="B210" s="196">
        <v>254940</v>
      </c>
      <c r="C210" s="196">
        <v>254550</v>
      </c>
      <c r="D210" s="196">
        <v>254470</v>
      </c>
      <c r="E210">
        <v>510</v>
      </c>
      <c r="F210" s="87">
        <v>2E-3</v>
      </c>
      <c r="G210" s="142">
        <v>44186</v>
      </c>
      <c r="H210" t="s">
        <v>6342</v>
      </c>
      <c r="I210" s="35" t="s">
        <v>6188</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5977</v>
      </c>
      <c r="I211" s="35" t="s">
        <v>6188</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6343</v>
      </c>
      <c r="I212" s="35" t="s">
        <v>6188</v>
      </c>
      <c r="L212" s="35" t="str">
        <f t="shared" si="4"/>
        <v>USD,20201219,257440,257550,254940,254990,1,1,1</v>
      </c>
    </row>
    <row r="213" spans="1:12">
      <c r="A213" s="196">
        <v>256960</v>
      </c>
      <c r="B213" s="196">
        <v>256440</v>
      </c>
      <c r="C213" s="196">
        <v>258050</v>
      </c>
      <c r="D213" s="196">
        <v>258020</v>
      </c>
      <c r="E213">
        <v>10</v>
      </c>
      <c r="F213" t="s">
        <v>6187</v>
      </c>
      <c r="G213" s="142">
        <v>44182</v>
      </c>
      <c r="H213" t="s">
        <v>6344</v>
      </c>
      <c r="I213" s="35" t="s">
        <v>6188</v>
      </c>
      <c r="L213" s="35" t="str">
        <f t="shared" si="4"/>
        <v>USD,20201217,258040,258050,257940,258020,1,1,1</v>
      </c>
    </row>
    <row r="214" spans="1:12">
      <c r="A214" s="196">
        <v>257980</v>
      </c>
      <c r="B214" s="196">
        <v>256940</v>
      </c>
      <c r="C214" s="196">
        <v>259550</v>
      </c>
      <c r="D214" s="196">
        <v>258030</v>
      </c>
      <c r="E214">
        <v>510</v>
      </c>
      <c r="F214" s="87">
        <v>2E-3</v>
      </c>
      <c r="G214" s="142">
        <v>44181</v>
      </c>
      <c r="H214" t="s">
        <v>6345</v>
      </c>
      <c r="I214" s="35" t="s">
        <v>6188</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6347</v>
      </c>
      <c r="I215" s="35" t="s">
        <v>6188</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6348</v>
      </c>
      <c r="I216" s="35" t="s">
        <v>6188</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6349</v>
      </c>
      <c r="I217" s="35" t="s">
        <v>6188</v>
      </c>
      <c r="L217" s="35" t="str">
        <f t="shared" si="4"/>
        <v>USD,20201213,259960,260050,257940,258040,1,1,1</v>
      </c>
    </row>
    <row r="218" spans="1:12">
      <c r="A218" s="196">
        <v>255970</v>
      </c>
      <c r="B218" s="196">
        <v>255940</v>
      </c>
      <c r="C218" s="196">
        <v>260750</v>
      </c>
      <c r="D218" s="196">
        <v>260050</v>
      </c>
      <c r="E218">
        <v>600</v>
      </c>
      <c r="F218" s="87">
        <v>2.3E-3</v>
      </c>
      <c r="G218" s="142">
        <v>44177</v>
      </c>
      <c r="H218" t="s">
        <v>6350</v>
      </c>
      <c r="I218" s="35" t="s">
        <v>6188</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6351</v>
      </c>
      <c r="I219" s="35" t="s">
        <v>6188</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6352</v>
      </c>
      <c r="I220" s="35" t="s">
        <v>6188</v>
      </c>
      <c r="L220" s="35" t="str">
        <f t="shared" si="4"/>
        <v>USD,20201209,255970,259850,255940,259770,1,1,1</v>
      </c>
    </row>
    <row r="221" spans="1:12">
      <c r="A221" s="196">
        <v>256950</v>
      </c>
      <c r="B221" s="196">
        <v>255940</v>
      </c>
      <c r="C221" s="196">
        <v>256050</v>
      </c>
      <c r="D221" s="196">
        <v>255940</v>
      </c>
      <c r="E221">
        <v>10</v>
      </c>
      <c r="F221" t="s">
        <v>6187</v>
      </c>
      <c r="G221" s="142">
        <v>44173</v>
      </c>
      <c r="H221" t="s">
        <v>6353</v>
      </c>
      <c r="I221" s="35" t="s">
        <v>6188</v>
      </c>
      <c r="L221" s="35" t="str">
        <f t="shared" si="4"/>
        <v>USD,20201208,255980,256050,255940,255940,1,1,1</v>
      </c>
    </row>
    <row r="222" spans="1:12">
      <c r="A222" s="196">
        <v>254710</v>
      </c>
      <c r="B222" s="196">
        <v>254670</v>
      </c>
      <c r="C222" s="196">
        <v>256050</v>
      </c>
      <c r="D222" s="196">
        <v>255950</v>
      </c>
      <c r="E222" t="s">
        <v>6187</v>
      </c>
      <c r="F222" t="s">
        <v>6187</v>
      </c>
      <c r="G222" s="142">
        <v>44172</v>
      </c>
      <c r="H222" t="s">
        <v>6354</v>
      </c>
      <c r="I222" s="35" t="s">
        <v>6188</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6355</v>
      </c>
      <c r="I223" s="35" t="s">
        <v>6188</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6356</v>
      </c>
      <c r="I224" s="35" t="s">
        <v>6188</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6357</v>
      </c>
      <c r="I225" s="35" t="s">
        <v>6188</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6358</v>
      </c>
      <c r="I226" s="35" t="s">
        <v>6188</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6359</v>
      </c>
      <c r="I227" s="35" t="s">
        <v>6188</v>
      </c>
      <c r="L227" s="35" t="str">
        <f t="shared" si="4"/>
        <v>USD,20201201,250070,256270,245160,256160,1,1,1</v>
      </c>
    </row>
    <row r="228" spans="1:12">
      <c r="A228" s="196">
        <v>247560</v>
      </c>
      <c r="B228" s="196">
        <v>247460</v>
      </c>
      <c r="C228" s="196">
        <v>253050</v>
      </c>
      <c r="D228" s="196">
        <v>250030</v>
      </c>
      <c r="E228">
        <v>4520</v>
      </c>
      <c r="F228" s="87">
        <v>1.84E-2</v>
      </c>
      <c r="G228" s="142">
        <v>44165</v>
      </c>
      <c r="H228" t="s">
        <v>6360</v>
      </c>
      <c r="I228" s="35" t="s">
        <v>6188</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6361</v>
      </c>
      <c r="I229" s="35" t="s">
        <v>6188</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6362</v>
      </c>
      <c r="I230" s="35" t="s">
        <v>6188</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6363</v>
      </c>
      <c r="I231" s="35" t="s">
        <v>6188</v>
      </c>
      <c r="L231" s="35" t="str">
        <f t="shared" si="4"/>
        <v>USD,20201126,248500,248570,247460,247570,1,1,1</v>
      </c>
    </row>
    <row r="232" spans="1:12">
      <c r="A232" s="196">
        <v>256030</v>
      </c>
      <c r="B232" s="196">
        <v>255450</v>
      </c>
      <c r="C232" s="196">
        <v>250570</v>
      </c>
      <c r="D232" s="196">
        <v>249500</v>
      </c>
      <c r="E232">
        <v>960</v>
      </c>
      <c r="F232" s="87">
        <v>3.8E-3</v>
      </c>
      <c r="G232" s="142">
        <v>44160</v>
      </c>
      <c r="H232" t="s">
        <v>6364</v>
      </c>
      <c r="I232" s="35" t="s">
        <v>6188</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6365</v>
      </c>
      <c r="I233" s="35" t="s">
        <v>6188</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6366</v>
      </c>
      <c r="I234" s="35" t="s">
        <v>6188</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6346</v>
      </c>
      <c r="I235" s="35" t="s">
        <v>6188</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6367</v>
      </c>
      <c r="I236" s="35" t="s">
        <v>6188</v>
      </c>
      <c r="L236" s="35" t="str">
        <f t="shared" si="4"/>
        <v>USD,20201121,256250,260560,256150,259550,1,1,1</v>
      </c>
    </row>
    <row r="237" spans="1:12">
      <c r="A237" s="196">
        <v>258960</v>
      </c>
      <c r="B237" s="196">
        <v>258950</v>
      </c>
      <c r="C237" s="196">
        <v>256260</v>
      </c>
      <c r="D237" s="196">
        <v>256200</v>
      </c>
      <c r="E237">
        <v>20</v>
      </c>
      <c r="F237" s="87">
        <v>1E-4</v>
      </c>
      <c r="G237" s="142">
        <v>44154</v>
      </c>
      <c r="H237" t="s">
        <v>6368</v>
      </c>
      <c r="I237" s="35" t="s">
        <v>6188</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6369</v>
      </c>
      <c r="I238" s="35" t="s">
        <v>6188</v>
      </c>
      <c r="L238" s="35" t="str">
        <f t="shared" si="4"/>
        <v>USD,20201118,259020,259020,256150,256220,1,1,1</v>
      </c>
    </row>
    <row r="239" spans="1:12">
      <c r="A239" s="196">
        <v>267480</v>
      </c>
      <c r="B239" s="196">
        <v>259950</v>
      </c>
      <c r="C239" s="196">
        <v>262060</v>
      </c>
      <c r="D239" s="196">
        <v>258970</v>
      </c>
      <c r="E239">
        <v>10</v>
      </c>
      <c r="F239" t="s">
        <v>6187</v>
      </c>
      <c r="G239" s="142">
        <v>44152</v>
      </c>
      <c r="H239" t="s">
        <v>6370</v>
      </c>
      <c r="I239" s="35" t="s">
        <v>6188</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6371</v>
      </c>
      <c r="I240" s="35" t="s">
        <v>6188</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6372</v>
      </c>
      <c r="I241" s="35" t="s">
        <v>6188</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6373</v>
      </c>
      <c r="I242" s="35" t="s">
        <v>6188</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6374</v>
      </c>
      <c r="I243" s="35" t="s">
        <v>6188</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6375</v>
      </c>
      <c r="I244" s="35" t="s">
        <v>6188</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6376</v>
      </c>
      <c r="I245" s="35" t="s">
        <v>6188</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6377</v>
      </c>
      <c r="I246" s="35" t="s">
        <v>6188</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6378</v>
      </c>
      <c r="I247" s="35" t="s">
        <v>6188</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6379</v>
      </c>
      <c r="I248" s="35" t="s">
        <v>6188</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6380</v>
      </c>
      <c r="I249" s="35" t="s">
        <v>6188</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6381</v>
      </c>
      <c r="I250" s="35" t="s">
        <v>6188</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6382</v>
      </c>
      <c r="I251" s="35" t="s">
        <v>6188</v>
      </c>
      <c r="L251" s="35" t="str">
        <f t="shared" si="5"/>
        <v>USD,20201102,272020,282460,271950,282420,1,1,1</v>
      </c>
    </row>
    <row r="252" spans="1:12">
      <c r="A252" s="196">
        <v>277460</v>
      </c>
      <c r="B252" s="196">
        <v>277450</v>
      </c>
      <c r="C252" s="196">
        <v>272060</v>
      </c>
      <c r="D252" s="196">
        <v>272060</v>
      </c>
      <c r="E252">
        <v>3340</v>
      </c>
      <c r="F252" s="87">
        <v>1.24E-2</v>
      </c>
      <c r="G252" s="142">
        <v>44136</v>
      </c>
      <c r="H252" t="s">
        <v>6383</v>
      </c>
      <c r="I252" s="35" t="s">
        <v>6188</v>
      </c>
      <c r="L252" s="35" t="str">
        <f t="shared" si="5"/>
        <v>USD,20201101,268670,272060,266950,272060,1,1,1</v>
      </c>
    </row>
    <row r="253" spans="1:12">
      <c r="A253" s="196">
        <v>282300</v>
      </c>
      <c r="B253" s="196">
        <v>278450</v>
      </c>
      <c r="C253" s="196">
        <v>277260</v>
      </c>
      <c r="D253" s="196">
        <v>268720</v>
      </c>
      <c r="E253">
        <v>8780</v>
      </c>
      <c r="F253" s="87">
        <v>3.27E-2</v>
      </c>
      <c r="G253" s="142">
        <v>44135</v>
      </c>
      <c r="H253" t="s">
        <v>6384</v>
      </c>
      <c r="I253" s="35" t="s">
        <v>6188</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6385</v>
      </c>
      <c r="I254" s="35" t="s">
        <v>6188</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6386</v>
      </c>
      <c r="I255" s="35" t="s">
        <v>6188</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6387</v>
      </c>
      <c r="I256" s="35" t="s">
        <v>6188</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6388</v>
      </c>
      <c r="I257" s="35" t="s">
        <v>6188</v>
      </c>
      <c r="L257" s="35" t="str">
        <f t="shared" si="5"/>
        <v>USD,20201026,289960,289990,279750,279860,1,1,1</v>
      </c>
    </row>
    <row r="258" spans="1:12">
      <c r="A258" s="196">
        <v>275470</v>
      </c>
      <c r="B258" s="196">
        <v>274450</v>
      </c>
      <c r="C258" s="196">
        <v>293860</v>
      </c>
      <c r="D258" s="196">
        <v>290000</v>
      </c>
      <c r="E258">
        <v>3750</v>
      </c>
      <c r="F258" s="87">
        <v>1.29E-2</v>
      </c>
      <c r="G258" s="142">
        <v>44128</v>
      </c>
      <c r="H258" t="s">
        <v>6389</v>
      </c>
      <c r="I258" s="35" t="s">
        <v>6188</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6390</v>
      </c>
      <c r="I259" s="35" t="s">
        <v>6188</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6391</v>
      </c>
      <c r="I260" s="35" t="s">
        <v>6188</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6392</v>
      </c>
      <c r="I261" s="35" t="s">
        <v>6188</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6393</v>
      </c>
      <c r="I262" s="35" t="s">
        <v>6188</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6394</v>
      </c>
      <c r="I263" s="35" t="s">
        <v>6188</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6395</v>
      </c>
      <c r="I264" s="35" t="s">
        <v>6188</v>
      </c>
      <c r="L264" s="35" t="str">
        <f t="shared" si="5"/>
        <v>USD,20201015,317000,317060,316950,317040,1,1,1</v>
      </c>
    </row>
    <row r="265" spans="1:12">
      <c r="A265" s="196">
        <v>311520</v>
      </c>
      <c r="B265" s="196">
        <v>301950</v>
      </c>
      <c r="C265" s="196">
        <v>315860</v>
      </c>
      <c r="D265" s="196">
        <v>315000</v>
      </c>
      <c r="E265">
        <v>1980</v>
      </c>
      <c r="F265" s="87">
        <v>6.3E-3</v>
      </c>
      <c r="G265" s="142">
        <v>44118</v>
      </c>
      <c r="H265" t="s">
        <v>6396</v>
      </c>
      <c r="I265" s="35" t="s">
        <v>6188</v>
      </c>
      <c r="L265" s="35" t="str">
        <f t="shared" si="5"/>
        <v>USD,20201014,312990,315860,312950,315000,1,1,1</v>
      </c>
    </row>
    <row r="266" spans="1:12">
      <c r="A266" s="196">
        <v>299480</v>
      </c>
      <c r="B266" s="196">
        <v>299450</v>
      </c>
      <c r="C266" s="196">
        <v>315060</v>
      </c>
      <c r="D266" s="196">
        <v>313020</v>
      </c>
      <c r="E266">
        <v>9060</v>
      </c>
      <c r="F266" s="87">
        <v>2.98E-2</v>
      </c>
      <c r="G266" s="142">
        <v>44117</v>
      </c>
      <c r="H266" t="s">
        <v>6397</v>
      </c>
      <c r="I266" s="35" t="s">
        <v>6188</v>
      </c>
      <c r="L266" s="35" t="str">
        <f t="shared" si="5"/>
        <v>USD,20201013,304040,315060,303950,313020,1,1,1</v>
      </c>
    </row>
    <row r="267" spans="1:12">
      <c r="A267" s="196">
        <v>291970</v>
      </c>
      <c r="B267" s="196">
        <v>291950</v>
      </c>
      <c r="C267" s="196">
        <v>311560</v>
      </c>
      <c r="D267" s="196">
        <v>303960</v>
      </c>
      <c r="E267">
        <v>7490</v>
      </c>
      <c r="F267" s="87">
        <v>2.46E-2</v>
      </c>
      <c r="G267" s="142">
        <v>44116</v>
      </c>
      <c r="H267" t="s">
        <v>6398</v>
      </c>
      <c r="I267" s="35" t="s">
        <v>6188</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6399</v>
      </c>
      <c r="I268" s="35" t="s">
        <v>6188</v>
      </c>
      <c r="L268" s="35" t="str">
        <f t="shared" si="5"/>
        <v>USD,20201011,299480,311560,299450,311450,1,1,1</v>
      </c>
    </row>
    <row r="269" spans="1:12">
      <c r="A269" s="196">
        <v>281970</v>
      </c>
      <c r="B269" s="196">
        <v>281950</v>
      </c>
      <c r="C269" s="196">
        <v>299560</v>
      </c>
      <c r="D269" s="196">
        <v>299560</v>
      </c>
      <c r="E269">
        <v>7540</v>
      </c>
      <c r="F269" s="87">
        <v>2.58E-2</v>
      </c>
      <c r="G269" s="142">
        <v>44114</v>
      </c>
      <c r="H269" t="s">
        <v>6400</v>
      </c>
      <c r="I269" s="35" t="s">
        <v>6188</v>
      </c>
      <c r="L269" s="35" t="str">
        <f t="shared" si="5"/>
        <v>USD,20201010,291970,299560,291950,299560,1,1,1</v>
      </c>
    </row>
    <row r="270" spans="1:12">
      <c r="A270" s="196">
        <v>269960</v>
      </c>
      <c r="B270" s="196">
        <v>269450</v>
      </c>
      <c r="C270" s="196">
        <v>292060</v>
      </c>
      <c r="D270" s="196">
        <v>292020</v>
      </c>
      <c r="E270">
        <v>20</v>
      </c>
      <c r="F270" s="87">
        <v>1E-4</v>
      </c>
      <c r="G270" s="142">
        <v>44111</v>
      </c>
      <c r="H270" t="s">
        <v>6401</v>
      </c>
      <c r="I270" s="35" t="s">
        <v>6188</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6402</v>
      </c>
      <c r="I271" s="35" t="s">
        <v>6188</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6403</v>
      </c>
      <c r="I272" s="35" t="s">
        <v>6188</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6404</v>
      </c>
      <c r="I273" s="35" t="s">
        <v>6188</v>
      </c>
      <c r="L273" s="35" t="str">
        <f t="shared" si="5"/>
        <v>USD,20201004,284550,284560,269950,269950,1,1,1</v>
      </c>
    </row>
    <row r="274" spans="1:12">
      <c r="A274" s="196">
        <v>285040</v>
      </c>
      <c r="B274" s="196">
        <v>284950</v>
      </c>
      <c r="C274" s="196">
        <v>289060</v>
      </c>
      <c r="D274" s="196">
        <v>284490</v>
      </c>
      <c r="E274">
        <v>4550</v>
      </c>
      <c r="F274" s="87">
        <v>1.6E-2</v>
      </c>
      <c r="G274" s="142">
        <v>44107</v>
      </c>
      <c r="H274" t="s">
        <v>6405</v>
      </c>
      <c r="I274" s="35" t="s">
        <v>6188</v>
      </c>
      <c r="L274" s="35" t="str">
        <f t="shared" si="5"/>
        <v>USD,20201003,289030,289060,284450,284490,1,1,1</v>
      </c>
    </row>
    <row r="275" spans="1:12">
      <c r="A275" s="196">
        <v>289450</v>
      </c>
      <c r="B275" s="196">
        <v>284950</v>
      </c>
      <c r="C275" s="196">
        <v>289060</v>
      </c>
      <c r="D275" s="196">
        <v>289040</v>
      </c>
      <c r="E275">
        <v>1520</v>
      </c>
      <c r="F275" s="87">
        <v>5.3E-3</v>
      </c>
      <c r="G275" s="142">
        <v>44105</v>
      </c>
      <c r="H275" t="s">
        <v>6407</v>
      </c>
      <c r="I275" s="35" t="s">
        <v>6188</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6408</v>
      </c>
      <c r="I276" s="35" t="s">
        <v>6188</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6409</v>
      </c>
      <c r="I277" s="35" t="s">
        <v>6188</v>
      </c>
      <c r="L277" s="35" t="str">
        <f t="shared" si="5"/>
        <v>USD,20200929,289450,289560,284950,285020,1,1,1</v>
      </c>
    </row>
    <row r="278" spans="1:12">
      <c r="A278" s="196">
        <v>278030</v>
      </c>
      <c r="B278" s="196">
        <v>277950</v>
      </c>
      <c r="C278" s="196">
        <v>289560</v>
      </c>
      <c r="D278" s="196">
        <v>289470</v>
      </c>
      <c r="E278">
        <v>2470</v>
      </c>
      <c r="F278" s="87">
        <v>8.6E-3</v>
      </c>
      <c r="G278" s="142">
        <v>44102</v>
      </c>
      <c r="H278" t="s">
        <v>6410</v>
      </c>
      <c r="I278" s="35" t="s">
        <v>6188</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6411</v>
      </c>
      <c r="I279" s="35" t="s">
        <v>6188</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6412</v>
      </c>
      <c r="I280" s="35" t="s">
        <v>6188</v>
      </c>
      <c r="L280" s="35" t="str">
        <f t="shared" si="5"/>
        <v>USD,20200926,278030,287560,277950,285060,1,1,1</v>
      </c>
    </row>
    <row r="281" spans="1:12">
      <c r="A281" s="196">
        <v>269480</v>
      </c>
      <c r="B281" s="196">
        <v>269450</v>
      </c>
      <c r="C281" s="196">
        <v>278060</v>
      </c>
      <c r="D281" s="196">
        <v>277970</v>
      </c>
      <c r="E281">
        <v>10</v>
      </c>
      <c r="F281" t="s">
        <v>6187</v>
      </c>
      <c r="G281" s="142">
        <v>44098</v>
      </c>
      <c r="H281" t="s">
        <v>6413</v>
      </c>
      <c r="I281" s="35" t="s">
        <v>6188</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6414</v>
      </c>
      <c r="I282" s="35" t="s">
        <v>6188</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6406</v>
      </c>
      <c r="I283" s="35" t="s">
        <v>6188</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6415</v>
      </c>
      <c r="I284" s="35" t="s">
        <v>6188</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6416</v>
      </c>
      <c r="I285" s="35" t="s">
        <v>6188</v>
      </c>
      <c r="L285" s="35" t="str">
        <f t="shared" si="5"/>
        <v>USD,20200920,264500,273060,264450,272980,1,1,1</v>
      </c>
    </row>
    <row r="286" spans="1:12">
      <c r="A286" s="196">
        <v>265980</v>
      </c>
      <c r="B286" s="196">
        <v>265950</v>
      </c>
      <c r="C286" s="196">
        <v>268060</v>
      </c>
      <c r="D286" s="196">
        <v>264480</v>
      </c>
      <c r="E286">
        <v>3490</v>
      </c>
      <c r="F286" s="87">
        <v>1.32E-2</v>
      </c>
      <c r="G286" s="142">
        <v>44093</v>
      </c>
      <c r="H286" t="s">
        <v>6417</v>
      </c>
      <c r="I286" s="35" t="s">
        <v>6188</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6418</v>
      </c>
      <c r="I287" s="35" t="s">
        <v>6188</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6419</v>
      </c>
      <c r="I288" s="35" t="s">
        <v>6188</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6420</v>
      </c>
      <c r="I289" s="35" t="s">
        <v>6188</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6113</v>
      </c>
      <c r="I290" s="35" t="s">
        <v>6188</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6421</v>
      </c>
      <c r="I291" s="35" t="s">
        <v>6188</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6422</v>
      </c>
      <c r="I292" s="35" t="s">
        <v>6188</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6423</v>
      </c>
      <c r="I293" s="35" t="s">
        <v>6188</v>
      </c>
      <c r="L293" s="35" t="str">
        <f t="shared" si="5"/>
        <v>USD,20200910,227910,228020,227910,228000,1,1,1</v>
      </c>
    </row>
    <row r="294" spans="1:12">
      <c r="A294" s="196">
        <v>225950</v>
      </c>
      <c r="B294" s="196">
        <v>225910</v>
      </c>
      <c r="C294" s="196">
        <v>227520</v>
      </c>
      <c r="D294" s="196">
        <v>227490</v>
      </c>
      <c r="E294">
        <v>30</v>
      </c>
      <c r="F294" s="87">
        <v>1E-4</v>
      </c>
      <c r="G294" s="142">
        <v>44083</v>
      </c>
      <c r="H294" t="s">
        <v>6424</v>
      </c>
      <c r="I294" s="35" t="s">
        <v>6188</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6425</v>
      </c>
      <c r="I295" s="35" t="s">
        <v>6188</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6426</v>
      </c>
      <c r="I296" s="35" t="s">
        <v>6188</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6427</v>
      </c>
      <c r="I297" s="35" t="s">
        <v>6188</v>
      </c>
      <c r="L297" s="35" t="str">
        <f t="shared" si="5"/>
        <v>USD,20200906,224450,226020,224410,226020,1,1,1</v>
      </c>
    </row>
    <row r="298" spans="1:12">
      <c r="A298" s="196">
        <v>229020</v>
      </c>
      <c r="B298" s="196">
        <v>226910</v>
      </c>
      <c r="C298" s="196">
        <v>224520</v>
      </c>
      <c r="D298" s="196">
        <v>224520</v>
      </c>
      <c r="E298" t="s">
        <v>6187</v>
      </c>
      <c r="F298" t="s">
        <v>6187</v>
      </c>
      <c r="G298" s="142">
        <v>44079</v>
      </c>
      <c r="H298" t="s">
        <v>6428</v>
      </c>
      <c r="I298" s="35" t="s">
        <v>6188</v>
      </c>
      <c r="L298" s="35" t="str">
        <f t="shared" si="5"/>
        <v>USD,20200905,224450,224520,224410,224520,1,1,1</v>
      </c>
    </row>
    <row r="299" spans="1:12">
      <c r="A299" s="196">
        <v>231430</v>
      </c>
      <c r="B299" s="196">
        <v>228910</v>
      </c>
      <c r="C299" s="196">
        <v>225020</v>
      </c>
      <c r="D299" s="196">
        <v>224520</v>
      </c>
      <c r="E299">
        <v>2440</v>
      </c>
      <c r="F299" s="87">
        <v>1.09E-2</v>
      </c>
      <c r="G299" s="142">
        <v>44077</v>
      </c>
      <c r="H299" t="s">
        <v>6429</v>
      </c>
      <c r="I299" s="35" t="s">
        <v>6188</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6430</v>
      </c>
      <c r="I300" s="35" t="s">
        <v>6188</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6431</v>
      </c>
      <c r="I301" s="35" t="s">
        <v>6188</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6432</v>
      </c>
      <c r="I302" s="35" t="s">
        <v>6188</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6433</v>
      </c>
      <c r="I303" s="35" t="s">
        <v>6188</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6434</v>
      </c>
      <c r="I304" s="35" t="s">
        <v>6188</v>
      </c>
      <c r="L304" s="35" t="str">
        <f t="shared" si="5"/>
        <v>USD,20200827,231020,231020,230910,231020,1,1,1</v>
      </c>
    </row>
    <row r="305" spans="1:12">
      <c r="A305" s="196">
        <v>225020</v>
      </c>
      <c r="B305" s="196">
        <v>224710</v>
      </c>
      <c r="C305" s="196">
        <v>230020</v>
      </c>
      <c r="D305" s="196">
        <v>229960</v>
      </c>
      <c r="E305">
        <v>5170</v>
      </c>
      <c r="F305" s="87">
        <v>2.3E-2</v>
      </c>
      <c r="G305" s="142">
        <v>44069</v>
      </c>
      <c r="H305" t="s">
        <v>6435</v>
      </c>
      <c r="I305" s="35" t="s">
        <v>6188</v>
      </c>
      <c r="L305" s="35" t="str">
        <f t="shared" si="5"/>
        <v>USD,20200826,224710,230020,224710,229960,1,1,1</v>
      </c>
    </row>
    <row r="306" spans="1:12">
      <c r="A306" s="196">
        <v>224940</v>
      </c>
      <c r="B306" s="196">
        <v>224910</v>
      </c>
      <c r="C306" s="196">
        <v>224820</v>
      </c>
      <c r="D306" s="196">
        <v>224790</v>
      </c>
      <c r="E306">
        <v>30</v>
      </c>
      <c r="F306" s="87">
        <v>1E-4</v>
      </c>
      <c r="G306" s="142">
        <v>44068</v>
      </c>
      <c r="H306" t="s">
        <v>6436</v>
      </c>
      <c r="I306" s="35" t="s">
        <v>6188</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6437</v>
      </c>
      <c r="I307" s="35" t="s">
        <v>6188</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6438</v>
      </c>
      <c r="I308" s="35" t="s">
        <v>6188</v>
      </c>
      <c r="L308" s="35" t="str">
        <f t="shared" si="5"/>
        <v>USD,20200823,224940,225020,224910,224970,1,1,1</v>
      </c>
    </row>
    <row r="309" spans="1:12">
      <c r="A309" s="196">
        <v>224960</v>
      </c>
      <c r="B309" s="196">
        <v>223910</v>
      </c>
      <c r="C309" s="196">
        <v>225020</v>
      </c>
      <c r="D309" s="196">
        <v>225020</v>
      </c>
      <c r="E309" t="s">
        <v>6187</v>
      </c>
      <c r="F309" t="s">
        <v>6187</v>
      </c>
      <c r="G309" s="142">
        <v>44065</v>
      </c>
      <c r="H309" t="s">
        <v>6439</v>
      </c>
      <c r="I309" s="35" t="s">
        <v>6188</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6440</v>
      </c>
      <c r="I310" s="35" t="s">
        <v>6188</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6441</v>
      </c>
      <c r="I311" s="35" t="s">
        <v>6188</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6442</v>
      </c>
      <c r="I312" s="35" t="s">
        <v>6188</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6443</v>
      </c>
      <c r="I313" s="35" t="s">
        <v>6188</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6444</v>
      </c>
      <c r="I314" s="35" t="s">
        <v>6188</v>
      </c>
      <c r="L314" s="35" t="str">
        <f t="shared" si="6"/>
        <v>USD,20200816,218970,219020,218910,219020,1,1,1</v>
      </c>
    </row>
    <row r="315" spans="1:12">
      <c r="A315" s="196">
        <v>216800</v>
      </c>
      <c r="B315" s="196">
        <v>216710</v>
      </c>
      <c r="C315" s="196">
        <v>220520</v>
      </c>
      <c r="D315" s="196">
        <v>220520</v>
      </c>
      <c r="E315">
        <v>20</v>
      </c>
      <c r="F315" s="87">
        <v>1E-4</v>
      </c>
      <c r="G315" s="142">
        <v>44058</v>
      </c>
      <c r="H315" t="s">
        <v>6445</v>
      </c>
      <c r="I315" s="35" t="s">
        <v>6188</v>
      </c>
      <c r="L315" s="35" t="str">
        <f t="shared" si="6"/>
        <v>USD,20200815,220520,220520,220410,220520,1,1,1</v>
      </c>
    </row>
    <row r="316" spans="1:12">
      <c r="A316" s="196">
        <v>209930</v>
      </c>
      <c r="B316" s="196">
        <v>209910</v>
      </c>
      <c r="C316" s="196">
        <v>220520</v>
      </c>
      <c r="D316" s="196">
        <v>220500</v>
      </c>
      <c r="E316">
        <v>2480</v>
      </c>
      <c r="F316" s="87">
        <v>1.14E-2</v>
      </c>
      <c r="G316" s="142">
        <v>44056</v>
      </c>
      <c r="H316" t="s">
        <v>6446</v>
      </c>
      <c r="I316" s="35" t="s">
        <v>6188</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6447</v>
      </c>
      <c r="I317" s="35" t="s">
        <v>6188</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6448</v>
      </c>
      <c r="I318" s="35" t="s">
        <v>6188</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6449</v>
      </c>
      <c r="I319" s="35" t="s">
        <v>6188</v>
      </c>
      <c r="L319" s="35" t="str">
        <f t="shared" si="6"/>
        <v>USD,20200810,217960,218020,207910,209910,1,1,1</v>
      </c>
    </row>
    <row r="320" spans="1:12">
      <c r="A320" s="196">
        <v>223020</v>
      </c>
      <c r="B320" s="196">
        <v>222910</v>
      </c>
      <c r="C320" s="196">
        <v>230020</v>
      </c>
      <c r="D320" s="196">
        <v>218020</v>
      </c>
      <c r="E320">
        <v>12000</v>
      </c>
      <c r="F320" s="87">
        <v>5.5E-2</v>
      </c>
      <c r="G320" s="142">
        <v>44052</v>
      </c>
      <c r="H320" t="s">
        <v>6450</v>
      </c>
      <c r="I320" s="35" t="s">
        <v>6188</v>
      </c>
      <c r="L320" s="35" t="str">
        <f t="shared" si="6"/>
        <v>USD,20200809,229980,230020,217910,218020,1,1,1</v>
      </c>
    </row>
    <row r="321" spans="1:12">
      <c r="A321" s="196">
        <v>219020</v>
      </c>
      <c r="B321" s="196">
        <v>218910</v>
      </c>
      <c r="C321" s="196">
        <v>230020</v>
      </c>
      <c r="D321" s="196">
        <v>230020</v>
      </c>
      <c r="E321">
        <v>3000</v>
      </c>
      <c r="F321" s="87">
        <v>1.32E-2</v>
      </c>
      <c r="G321" s="142">
        <v>44049</v>
      </c>
      <c r="H321" t="s">
        <v>6451</v>
      </c>
      <c r="I321" s="35" t="s">
        <v>6188</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6116</v>
      </c>
      <c r="I322" s="35" t="s">
        <v>6188</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6452</v>
      </c>
      <c r="I323" s="35" t="s">
        <v>6188</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6453</v>
      </c>
      <c r="I324" s="35" t="s">
        <v>6188</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6454</v>
      </c>
      <c r="I325" s="35" t="s">
        <v>6188</v>
      </c>
      <c r="L325" s="35" t="str">
        <f t="shared" si="6"/>
        <v>USD,20200802,212940,217020,212910,217020,1,1,1</v>
      </c>
    </row>
    <row r="326" spans="1:12">
      <c r="A326" s="196">
        <v>204930</v>
      </c>
      <c r="B326" s="196">
        <v>204910</v>
      </c>
      <c r="C326" s="196">
        <v>213020</v>
      </c>
      <c r="D326" s="196">
        <v>213020</v>
      </c>
      <c r="E326">
        <v>5000</v>
      </c>
      <c r="F326" s="87">
        <v>2.4E-2</v>
      </c>
      <c r="G326" s="142">
        <v>44044</v>
      </c>
      <c r="H326" t="s">
        <v>6455</v>
      </c>
      <c r="I326" s="35" t="s">
        <v>6188</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6456</v>
      </c>
      <c r="I327" s="35" t="s">
        <v>6188</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6457</v>
      </c>
      <c r="I328" s="35" t="s">
        <v>6188</v>
      </c>
      <c r="L328" s="35" t="str">
        <f t="shared" si="6"/>
        <v>USD,20200729,204930,205020,204910,204990,1,1,1</v>
      </c>
    </row>
    <row r="329" spans="1:12">
      <c r="A329" s="196">
        <v>202940</v>
      </c>
      <c r="B329" s="196">
        <v>202910</v>
      </c>
      <c r="C329" s="196">
        <v>205020</v>
      </c>
      <c r="D329" s="196">
        <v>204920</v>
      </c>
      <c r="E329">
        <v>10</v>
      </c>
      <c r="F329" t="s">
        <v>6187</v>
      </c>
      <c r="G329" s="142">
        <v>44040</v>
      </c>
      <c r="H329" t="s">
        <v>6458</v>
      </c>
      <c r="I329" s="35" t="s">
        <v>6188</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6459</v>
      </c>
      <c r="I330" s="35" t="s">
        <v>6188</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6460</v>
      </c>
      <c r="I331" s="35" t="s">
        <v>6188</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6461</v>
      </c>
      <c r="I332" s="35" t="s">
        <v>6188</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6462</v>
      </c>
      <c r="I333" s="35" t="s">
        <v>6188</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6463</v>
      </c>
      <c r="I334" s="35" t="s">
        <v>6188</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6464</v>
      </c>
      <c r="I335" s="35" t="s">
        <v>6188</v>
      </c>
      <c r="L335" s="35" t="str">
        <f t="shared" si="6"/>
        <v>USD,20200721,225920,226020,204410,204520,1,1,1</v>
      </c>
    </row>
    <row r="336" spans="1:12" ht="15.75" thickBot="1">
      <c r="A336" s="265">
        <v>283180</v>
      </c>
      <c r="B336" s="266">
        <v>283100</v>
      </c>
      <c r="C336" s="266">
        <v>284480</v>
      </c>
      <c r="D336" s="266">
        <v>284240</v>
      </c>
      <c r="E336" s="267">
        <v>580</v>
      </c>
      <c r="F336" s="268">
        <v>2E-3</v>
      </c>
      <c r="G336" s="269">
        <v>44511</v>
      </c>
      <c r="H336" s="270" t="s">
        <v>6565</v>
      </c>
      <c r="I336" s="35" t="s">
        <v>6188</v>
      </c>
      <c r="L336" s="35" t="str">
        <f t="shared" si="6"/>
        <v>USD,20211111,279840,284480,279700,284240,1,1,1</v>
      </c>
    </row>
    <row r="337" spans="1:12" ht="15.75" thickBot="1">
      <c r="A337" s="253">
        <v>281760</v>
      </c>
      <c r="B337" s="254">
        <v>281400</v>
      </c>
      <c r="C337" s="254">
        <v>283880</v>
      </c>
      <c r="D337" s="254">
        <v>283660</v>
      </c>
      <c r="E337" s="255">
        <v>2600</v>
      </c>
      <c r="F337" s="256">
        <v>9.2999999999999992E-3</v>
      </c>
      <c r="G337" s="257">
        <v>44510</v>
      </c>
      <c r="H337" s="258" t="s">
        <v>6566</v>
      </c>
      <c r="I337" s="35" t="s">
        <v>6188</v>
      </c>
      <c r="L337" s="35" t="str">
        <f t="shared" si="6"/>
        <v>USD,20211110,278010,283880,277200,283660,1,1,1</v>
      </c>
    </row>
    <row r="338" spans="1:12" ht="15.75" thickBot="1">
      <c r="A338" s="259">
        <v>280230</v>
      </c>
      <c r="B338" s="260">
        <v>280200</v>
      </c>
      <c r="C338" s="260">
        <v>281780</v>
      </c>
      <c r="D338" s="260">
        <v>281060</v>
      </c>
      <c r="E338" s="261">
        <v>820</v>
      </c>
      <c r="F338" s="262">
        <v>2.8999999999999998E-3</v>
      </c>
      <c r="G338" s="263">
        <v>44509</v>
      </c>
      <c r="H338" s="264" t="s">
        <v>6567</v>
      </c>
      <c r="I338" s="35" t="s">
        <v>6188</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6767</v>
      </c>
      <c r="D1" s="123" t="s">
        <v>6768</v>
      </c>
      <c r="E1" s="123" t="s">
        <v>6789</v>
      </c>
      <c r="F1" s="248" t="s">
        <v>6479</v>
      </c>
      <c r="G1" s="123" t="s">
        <v>6478</v>
      </c>
      <c r="H1" s="248" t="s">
        <v>6736</v>
      </c>
      <c r="I1" s="123" t="s">
        <v>6737</v>
      </c>
      <c r="J1" s="248" t="s">
        <v>6480</v>
      </c>
      <c r="K1" s="123" t="s">
        <v>6481</v>
      </c>
      <c r="L1" s="123" t="s">
        <v>6028</v>
      </c>
      <c r="M1" s="123" t="s">
        <v>6621</v>
      </c>
      <c r="N1" s="123" t="s">
        <v>4163</v>
      </c>
      <c r="O1" s="123" t="s">
        <v>4791</v>
      </c>
      <c r="P1" s="238" t="s">
        <v>4542</v>
      </c>
    </row>
    <row r="2" spans="1:16" ht="15.75">
      <c r="A2" s="239" t="s">
        <v>6509</v>
      </c>
      <c r="B2" s="240">
        <v>485045415</v>
      </c>
      <c r="C2" s="240"/>
      <c r="D2" s="240">
        <v>14</v>
      </c>
      <c r="E2" s="242">
        <f t="shared" ref="E2:E9" si="0">B2*D2/$P$2</f>
        <v>0.29019811153846153</v>
      </c>
      <c r="F2" s="240">
        <v>40</v>
      </c>
      <c r="G2" s="240">
        <f t="shared" ref="G2:G16" si="1">B2*F2/$P$2</f>
        <v>0.82913746153846157</v>
      </c>
      <c r="H2" s="240">
        <v>14</v>
      </c>
      <c r="I2" s="240">
        <f>B2*H2/$P$2</f>
        <v>0.29019811153846153</v>
      </c>
      <c r="J2" s="239">
        <v>22.8</v>
      </c>
      <c r="K2" s="239">
        <f t="shared" ref="K2:K16" si="2">B2*J2/$P$2</f>
        <v>0.47260835307692306</v>
      </c>
      <c r="L2" s="239">
        <v>7</v>
      </c>
      <c r="M2" s="239">
        <f t="shared" ref="M2:M16" si="3">B2*L2/$P$2</f>
        <v>0.14509905576923077</v>
      </c>
      <c r="N2" s="239">
        <v>2386</v>
      </c>
      <c r="O2" s="239">
        <f t="shared" ref="O2:O16" si="4">B2*N2/$P$2</f>
        <v>49.458049580769227</v>
      </c>
      <c r="P2" s="240">
        <v>23400000000</v>
      </c>
    </row>
    <row r="3" spans="1:16" ht="15.75">
      <c r="A3" s="241" t="s">
        <v>5590</v>
      </c>
      <c r="B3" s="240">
        <v>2755813481</v>
      </c>
      <c r="C3" s="240">
        <f>'سهام بنیادی'!F27</f>
        <v>160</v>
      </c>
      <c r="D3" s="240">
        <f>'سهام بنیادی'!G27</f>
        <v>120</v>
      </c>
      <c r="E3" s="242">
        <f t="shared" si="0"/>
        <v>14.132376825641026</v>
      </c>
      <c r="F3" s="242">
        <f>'سهام بنیادی'!D27</f>
        <v>230</v>
      </c>
      <c r="G3" s="240">
        <f>B3*F3/$P$2</f>
        <v>27.087055582478634</v>
      </c>
      <c r="H3" s="240">
        <f>'سهام بنیادی'!E27</f>
        <v>159</v>
      </c>
      <c r="I3" s="240">
        <f>B3*H3/$P$2</f>
        <v>18.725399293974359</v>
      </c>
      <c r="J3" s="245">
        <f>'سهام بنیادی'!B27</f>
        <v>144</v>
      </c>
      <c r="K3" s="239">
        <f t="shared" si="2"/>
        <v>16.958852190769232</v>
      </c>
      <c r="L3" s="241">
        <f>'سهام بنیادی'!C27</f>
        <v>100</v>
      </c>
      <c r="M3" s="239">
        <f t="shared" si="3"/>
        <v>11.776980688034188</v>
      </c>
      <c r="N3" s="241">
        <f>'سهام بنیادی'!H27</f>
        <v>1390</v>
      </c>
      <c r="O3" s="239">
        <f t="shared" si="4"/>
        <v>163.70003156367522</v>
      </c>
    </row>
    <row r="4" spans="1:16" ht="15.75">
      <c r="A4" s="239" t="s">
        <v>6505</v>
      </c>
      <c r="B4" s="240">
        <v>1024799277</v>
      </c>
      <c r="C4" s="240">
        <f>'سهام بنیادی'!F29</f>
        <v>300</v>
      </c>
      <c r="D4" s="240">
        <f>'سهام بنیادی'!G29</f>
        <v>150</v>
      </c>
      <c r="E4" s="242">
        <f t="shared" si="0"/>
        <v>6.5692261346153842</v>
      </c>
      <c r="F4" s="240">
        <f>'سهام بنیادی'!D29</f>
        <v>369</v>
      </c>
      <c r="G4" s="240">
        <f t="shared" si="1"/>
        <v>16.160296291153845</v>
      </c>
      <c r="H4" s="240">
        <f>'سهام بنیادی'!E29</f>
        <v>170</v>
      </c>
      <c r="I4" s="240">
        <f t="shared" ref="I4:I16" si="5">B4*H4/$P$2</f>
        <v>7.4451229525641027</v>
      </c>
      <c r="J4" s="247">
        <f>'سهام بنیادی'!B29</f>
        <v>130.6</v>
      </c>
      <c r="K4" s="239">
        <f>B4*J4/$P$2</f>
        <v>5.7196062212051277</v>
      </c>
      <c r="L4" s="239">
        <f>'سهام بنیادی'!C29</f>
        <v>40</v>
      </c>
      <c r="M4" s="239">
        <f t="shared" si="3"/>
        <v>1.751793635897436</v>
      </c>
      <c r="N4" s="239">
        <f>'سهام بنیادی'!H29</f>
        <v>1142</v>
      </c>
      <c r="O4" s="239">
        <f t="shared" si="4"/>
        <v>50.013708304871798</v>
      </c>
    </row>
    <row r="5" spans="1:16" ht="15.75">
      <c r="A5" s="241" t="s">
        <v>6506</v>
      </c>
      <c r="B5" s="242">
        <v>1494654314</v>
      </c>
      <c r="C5" s="242">
        <f>'سهام بنیادی'!F38</f>
        <v>200</v>
      </c>
      <c r="D5" s="242">
        <f>'سهام بنیادی'!G38</f>
        <v>160</v>
      </c>
      <c r="E5" s="242">
        <f t="shared" si="0"/>
        <v>10.219858557264958</v>
      </c>
      <c r="F5" s="242">
        <f>'سهام بنیادی'!D38</f>
        <v>140</v>
      </c>
      <c r="G5" s="240">
        <f t="shared" si="1"/>
        <v>8.9423762376068368</v>
      </c>
      <c r="H5" s="240">
        <f>'سهام بنیادی'!E38</f>
        <v>100</v>
      </c>
      <c r="I5" s="240">
        <f t="shared" si="5"/>
        <v>6.3874115982905986</v>
      </c>
      <c r="J5" s="245">
        <f>'سهام بنیادی'!B38</f>
        <v>79.5</v>
      </c>
      <c r="K5" s="239">
        <f t="shared" si="2"/>
        <v>5.0779922206410255</v>
      </c>
      <c r="L5" s="241">
        <f>'سهام بنیادی'!C38</f>
        <v>55.7</v>
      </c>
      <c r="M5" s="239">
        <f t="shared" si="3"/>
        <v>3.5577882602478632</v>
      </c>
      <c r="N5" s="241">
        <f>'سهام بنیادی'!H38</f>
        <v>1364</v>
      </c>
      <c r="O5" s="239">
        <f t="shared" si="4"/>
        <v>87.124294200683764</v>
      </c>
    </row>
    <row r="6" spans="1:16" ht="15.75">
      <c r="A6" s="239" t="s">
        <v>6507</v>
      </c>
      <c r="B6" s="240">
        <v>213196988</v>
      </c>
      <c r="C6" s="240">
        <v>200</v>
      </c>
      <c r="D6" s="240">
        <v>0</v>
      </c>
      <c r="E6" s="242">
        <f t="shared" si="0"/>
        <v>0</v>
      </c>
      <c r="F6" s="240">
        <v>200</v>
      </c>
      <c r="G6" s="240">
        <f t="shared" si="1"/>
        <v>1.8221964786324787</v>
      </c>
      <c r="H6" s="240">
        <v>0</v>
      </c>
      <c r="I6" s="240">
        <f t="shared" si="5"/>
        <v>0</v>
      </c>
      <c r="J6" s="247">
        <v>167</v>
      </c>
      <c r="K6" s="239">
        <f t="shared" si="2"/>
        <v>1.5215340596581197</v>
      </c>
      <c r="L6" s="239">
        <v>85</v>
      </c>
      <c r="M6" s="239">
        <f t="shared" si="3"/>
        <v>0.77443350341880346</v>
      </c>
      <c r="N6" s="239">
        <v>1650</v>
      </c>
      <c r="O6" s="239">
        <f t="shared" si="4"/>
        <v>15.033120948717949</v>
      </c>
    </row>
    <row r="7" spans="1:16" ht="15.75">
      <c r="A7" s="241" t="s">
        <v>4134</v>
      </c>
      <c r="B7" s="242">
        <v>192564664</v>
      </c>
      <c r="C7" s="242">
        <f>'سهام بنیادی'!D37</f>
        <v>281</v>
      </c>
      <c r="D7" s="242">
        <f>'سهام بنیادی'!E37</f>
        <v>235</v>
      </c>
      <c r="E7" s="242">
        <f>B7*D7/$P$2</f>
        <v>1.9338758991452991</v>
      </c>
      <c r="F7" s="242">
        <f>'سهام بنیادی'!B37</f>
        <v>224</v>
      </c>
      <c r="G7" s="240">
        <f t="shared" si="1"/>
        <v>1.8433540485470086</v>
      </c>
      <c r="H7" s="240">
        <f>'سهام بنیادی'!C37</f>
        <v>193</v>
      </c>
      <c r="I7" s="240">
        <f>B7*H7/$P$2</f>
        <v>1.588247015042735</v>
      </c>
      <c r="J7" s="245">
        <v>230</v>
      </c>
      <c r="K7" s="239">
        <f t="shared" si="2"/>
        <v>1.8927296034188035</v>
      </c>
      <c r="L7" s="241">
        <v>200</v>
      </c>
      <c r="M7" s="239">
        <f t="shared" si="3"/>
        <v>1.645851829059829</v>
      </c>
      <c r="N7" s="241">
        <f>'سهام بنیادی'!H37</f>
        <v>2999</v>
      </c>
      <c r="O7" s="239">
        <f t="shared" si="4"/>
        <v>24.679548176752135</v>
      </c>
    </row>
    <row r="8" spans="1:16" ht="15.75">
      <c r="A8" s="239" t="s">
        <v>6053</v>
      </c>
      <c r="B8" s="240">
        <v>2971621588</v>
      </c>
      <c r="C8" s="240">
        <f>'سهام بنیادی'!F26</f>
        <v>120</v>
      </c>
      <c r="D8" s="240">
        <f>'سهام بنیادی'!G26</f>
        <v>90</v>
      </c>
      <c r="E8" s="242">
        <f t="shared" si="0"/>
        <v>11.429313799999999</v>
      </c>
      <c r="F8" s="240">
        <f>'سهام بنیادی'!D26</f>
        <v>175</v>
      </c>
      <c r="G8" s="240">
        <f>B8*F8*1.85/($P$2*2.97)</f>
        <v>13.843024103067714</v>
      </c>
      <c r="H8" s="240">
        <f>'سهام بنیادی'!E26</f>
        <v>127</v>
      </c>
      <c r="I8" s="240">
        <f>B8*H8*1.85/($P$2*2.97)</f>
        <v>10.046080349083427</v>
      </c>
      <c r="J8" s="247">
        <f>'سهام بنیادی'!B26</f>
        <v>95</v>
      </c>
      <c r="K8" s="239">
        <f t="shared" si="2"/>
        <v>12.064275677777777</v>
      </c>
      <c r="L8" s="239">
        <f>'سهام بنیادی'!C26</f>
        <v>65</v>
      </c>
      <c r="M8" s="239">
        <f t="shared" si="3"/>
        <v>8.2545044111111103</v>
      </c>
      <c r="N8" s="239">
        <f>'سهام بنیادی'!H26</f>
        <v>1229</v>
      </c>
      <c r="O8" s="239">
        <f t="shared" si="4"/>
        <v>156.07362955777776</v>
      </c>
    </row>
    <row r="9" spans="1:16" ht="15.75">
      <c r="A9" s="241" t="s">
        <v>4405</v>
      </c>
      <c r="B9" s="242">
        <v>2671386745</v>
      </c>
      <c r="C9" s="242">
        <f>'سهام بنیادی'!F28</f>
        <v>110</v>
      </c>
      <c r="D9" s="242">
        <f>'سهام بنیادی'!G28</f>
        <v>65</v>
      </c>
      <c r="E9" s="242">
        <f t="shared" si="0"/>
        <v>7.4205187361111111</v>
      </c>
      <c r="F9" s="242">
        <f>'سهام بنیادی'!D28</f>
        <v>126</v>
      </c>
      <c r="G9" s="240">
        <f t="shared" si="1"/>
        <v>14.384390165384616</v>
      </c>
      <c r="H9" s="240">
        <f>'سهام بنیادی'!E28</f>
        <v>70</v>
      </c>
      <c r="I9" s="240">
        <f t="shared" si="5"/>
        <v>7.9913278696581198</v>
      </c>
      <c r="J9" s="245">
        <f>'سهام بنیادی'!B28</f>
        <v>65</v>
      </c>
      <c r="K9" s="239">
        <f t="shared" si="2"/>
        <v>7.4205187361111111</v>
      </c>
      <c r="L9" s="241">
        <f>'سهام بنیادی'!C28</f>
        <v>14</v>
      </c>
      <c r="M9" s="239">
        <f t="shared" si="3"/>
        <v>1.5982655739316238</v>
      </c>
      <c r="N9" s="241">
        <f>'سهام بنیادی'!H28</f>
        <v>620</v>
      </c>
      <c r="O9" s="239">
        <f t="shared" si="4"/>
        <v>70.780332559829063</v>
      </c>
    </row>
    <row r="10" spans="1:16" ht="18.75">
      <c r="A10" s="241" t="s">
        <v>4716</v>
      </c>
      <c r="B10" s="242">
        <v>86946858</v>
      </c>
      <c r="C10" s="242">
        <f>'سهام بنیادی'!D3</f>
        <v>4000</v>
      </c>
      <c r="D10" s="242">
        <f>'سهام بنیادی'!E3</f>
        <v>2350</v>
      </c>
      <c r="E10" s="242">
        <f>B10*D10/$P$2</f>
        <v>8.7318425769230767</v>
      </c>
      <c r="F10" s="242">
        <f>'سهام بنیادی'!B3</f>
        <v>2100</v>
      </c>
      <c r="G10" s="240">
        <f t="shared" si="1"/>
        <v>7.8029231538461534</v>
      </c>
      <c r="H10" s="240">
        <f>'سهام بنیادی'!C3</f>
        <v>1350</v>
      </c>
      <c r="I10" s="240">
        <f t="shared" si="5"/>
        <v>5.0161648846153843</v>
      </c>
      <c r="J10" s="245">
        <v>930</v>
      </c>
      <c r="K10" s="239">
        <f t="shared" si="2"/>
        <v>3.4555802538461537</v>
      </c>
      <c r="L10" s="252">
        <v>650</v>
      </c>
      <c r="M10" s="239">
        <f t="shared" si="3"/>
        <v>2.4151905</v>
      </c>
      <c r="N10" s="241">
        <f>'سهام بنیادی'!H3</f>
        <v>19300</v>
      </c>
      <c r="O10" s="239">
        <f t="shared" si="4"/>
        <v>71.712579461538468</v>
      </c>
    </row>
    <row r="11" spans="1:16" ht="15.75">
      <c r="A11" s="241" t="s">
        <v>5637</v>
      </c>
      <c r="B11" s="242">
        <v>299554087</v>
      </c>
      <c r="C11" s="242">
        <f>'سهام بنیادی'!D35</f>
        <v>570</v>
      </c>
      <c r="D11" s="242">
        <f>'سهام بنیادی'!E35</f>
        <v>510</v>
      </c>
      <c r="E11" s="242">
        <f t="shared" ref="E11:E16" si="6">B11*D11/$P$2</f>
        <v>6.5287429217948718</v>
      </c>
      <c r="F11" s="242">
        <f>'سهام بنیادی'!B35</f>
        <v>391</v>
      </c>
      <c r="G11" s="240">
        <f t="shared" si="1"/>
        <v>5.0053695733760684</v>
      </c>
      <c r="H11" s="240">
        <f>'سهام بنیادی'!C35</f>
        <v>353</v>
      </c>
      <c r="I11" s="240">
        <f t="shared" si="5"/>
        <v>4.5189142184188036</v>
      </c>
      <c r="J11" s="245">
        <f>'سهام بنیادی'!B35</f>
        <v>391</v>
      </c>
      <c r="K11" s="239">
        <f t="shared" si="2"/>
        <v>5.0053695733760684</v>
      </c>
      <c r="L11" s="241">
        <f>'سهام بنیادی'!C35</f>
        <v>353</v>
      </c>
      <c r="M11" s="239">
        <f t="shared" si="3"/>
        <v>4.5189142184188036</v>
      </c>
      <c r="N11" s="241">
        <f>'سهام بنیادی'!H35</f>
        <v>3500</v>
      </c>
      <c r="O11" s="239">
        <f t="shared" si="4"/>
        <v>44.805098482905983</v>
      </c>
    </row>
    <row r="12" spans="1:16" ht="15.75">
      <c r="A12" s="241" t="s">
        <v>5566</v>
      </c>
      <c r="B12" s="242">
        <v>38247354</v>
      </c>
      <c r="C12" s="242">
        <v>1000</v>
      </c>
      <c r="D12" s="242">
        <v>700</v>
      </c>
      <c r="E12" s="242">
        <f t="shared" si="6"/>
        <v>1.1441516153846154</v>
      </c>
      <c r="F12" s="242">
        <v>1000</v>
      </c>
      <c r="G12" s="240">
        <f t="shared" si="1"/>
        <v>1.6345023076923078</v>
      </c>
      <c r="H12" s="240">
        <v>600</v>
      </c>
      <c r="I12" s="240">
        <f t="shared" si="5"/>
        <v>0.98070138461538459</v>
      </c>
      <c r="J12" s="241">
        <v>727</v>
      </c>
      <c r="K12" s="239">
        <f t="shared" si="2"/>
        <v>1.1882831776923077</v>
      </c>
      <c r="L12" s="241">
        <v>650</v>
      </c>
      <c r="M12" s="239">
        <f t="shared" si="3"/>
        <v>1.0624264999999999</v>
      </c>
      <c r="N12" s="241">
        <f>'سهام بنیادی'!H14</f>
        <v>3920</v>
      </c>
      <c r="O12" s="239">
        <f t="shared" si="4"/>
        <v>6.4072490461538463</v>
      </c>
    </row>
    <row r="13" spans="1:16" ht="15.75">
      <c r="A13" s="239" t="s">
        <v>6508</v>
      </c>
      <c r="B13" s="240">
        <v>81430514</v>
      </c>
      <c r="C13" s="240">
        <f>'سهام بنیادی'!F10</f>
        <v>500</v>
      </c>
      <c r="D13" s="240">
        <f>'سهام بنیادی'!G10</f>
        <v>450</v>
      </c>
      <c r="E13" s="242">
        <f t="shared" si="6"/>
        <v>1.5659714230769231</v>
      </c>
      <c r="F13" s="240">
        <v>250</v>
      </c>
      <c r="G13" s="240">
        <f t="shared" si="1"/>
        <v>0.86998412393162394</v>
      </c>
      <c r="H13" s="240">
        <v>350</v>
      </c>
      <c r="I13" s="240">
        <f t="shared" si="5"/>
        <v>1.2179777735042736</v>
      </c>
      <c r="J13" s="239">
        <v>197</v>
      </c>
      <c r="K13" s="239">
        <f t="shared" si="2"/>
        <v>0.68554748965811962</v>
      </c>
      <c r="L13" s="239">
        <v>180</v>
      </c>
      <c r="M13" s="239">
        <f t="shared" si="3"/>
        <v>0.62638856923076924</v>
      </c>
      <c r="N13" s="239">
        <f>'سهام بنیادی'!H10</f>
        <v>2664</v>
      </c>
      <c r="O13" s="239">
        <f t="shared" si="4"/>
        <v>9.270550824615384</v>
      </c>
    </row>
    <row r="14" spans="1:16" ht="15.75">
      <c r="A14" s="241" t="s">
        <v>4266</v>
      </c>
      <c r="B14" s="242">
        <v>463462782</v>
      </c>
      <c r="C14" s="242">
        <f>'سهام بنیادی'!F2</f>
        <v>35</v>
      </c>
      <c r="D14" s="242">
        <f>'سهام بنیادی'!G2</f>
        <v>30</v>
      </c>
      <c r="E14" s="242">
        <f t="shared" si="6"/>
        <v>0.59418305384615389</v>
      </c>
      <c r="F14" s="242">
        <f>'سهام بنیادی'!D2</f>
        <v>33.700000000000003</v>
      </c>
      <c r="G14" s="240">
        <f t="shared" si="1"/>
        <v>0.66746563048717955</v>
      </c>
      <c r="H14" s="240">
        <f>'سهام بنیادی'!E2</f>
        <v>27</v>
      </c>
      <c r="I14" s="240">
        <f t="shared" si="5"/>
        <v>0.53476474846153843</v>
      </c>
      <c r="J14" s="241">
        <f>'سهام بنیادی'!B2</f>
        <v>25.67</v>
      </c>
      <c r="K14" s="239">
        <f t="shared" si="2"/>
        <v>0.50842263307435898</v>
      </c>
      <c r="L14" s="241">
        <f>'سهام بنیادی'!C2</f>
        <v>25.2</v>
      </c>
      <c r="M14" s="239">
        <f t="shared" si="3"/>
        <v>0.49911376523076922</v>
      </c>
      <c r="N14" s="241">
        <f>'سهام بنیادی'!H2</f>
        <v>218</v>
      </c>
      <c r="O14" s="239">
        <f t="shared" si="4"/>
        <v>4.3177301912820516</v>
      </c>
    </row>
    <row r="15" spans="1:16" ht="15.75">
      <c r="A15" s="239" t="s">
        <v>5591</v>
      </c>
      <c r="B15" s="240">
        <v>125228976</v>
      </c>
      <c r="C15" s="240">
        <f>'سهام بنیادی'!F25</f>
        <v>630</v>
      </c>
      <c r="D15" s="240">
        <f>'سهام بنیادی'!G25</f>
        <v>600</v>
      </c>
      <c r="E15" s="242">
        <f t="shared" si="6"/>
        <v>3.2109993846153846</v>
      </c>
      <c r="F15" s="240">
        <f>'سهام بنیادی'!D25</f>
        <v>431</v>
      </c>
      <c r="G15" s="240">
        <f t="shared" si="1"/>
        <v>2.3065678912820511</v>
      </c>
      <c r="H15" s="240">
        <f>'سهام بنیادی'!E25</f>
        <v>400</v>
      </c>
      <c r="I15" s="240">
        <f t="shared" si="5"/>
        <v>2.1406662564102565</v>
      </c>
      <c r="J15" s="239">
        <f>'سهام بنیادی'!B25</f>
        <v>173</v>
      </c>
      <c r="K15" s="239">
        <f t="shared" si="2"/>
        <v>0.9258381558974359</v>
      </c>
      <c r="L15" s="239">
        <f>'سهام بنیادی'!C25</f>
        <v>170</v>
      </c>
      <c r="M15" s="239">
        <f t="shared" si="3"/>
        <v>0.90978315897435902</v>
      </c>
      <c r="N15" s="239">
        <f>'سهام بنیادی'!H25</f>
        <v>4375</v>
      </c>
      <c r="O15" s="239">
        <f t="shared" si="4"/>
        <v>23.413537179487179</v>
      </c>
      <c r="P15" t="s">
        <v>25</v>
      </c>
    </row>
    <row r="16" spans="1:16" ht="15.75">
      <c r="A16" s="241" t="s">
        <v>6790</v>
      </c>
      <c r="B16" s="242">
        <v>1</v>
      </c>
      <c r="C16" s="242">
        <v>500000000000</v>
      </c>
      <c r="D16" s="242">
        <v>300000000000</v>
      </c>
      <c r="E16" s="242">
        <f t="shared" si="6"/>
        <v>12.820512820512821</v>
      </c>
      <c r="F16" s="242">
        <v>500000000000</v>
      </c>
      <c r="G16" s="240">
        <f t="shared" si="1"/>
        <v>21.367521367521366</v>
      </c>
      <c r="H16" s="240">
        <v>300000000000</v>
      </c>
      <c r="I16" s="240">
        <f t="shared" si="5"/>
        <v>12.820512820512821</v>
      </c>
      <c r="J16" s="242">
        <v>500000000000</v>
      </c>
      <c r="K16" s="239">
        <f t="shared" si="2"/>
        <v>21.367521367521366</v>
      </c>
      <c r="L16" s="242">
        <v>300000000000</v>
      </c>
      <c r="M16" s="239">
        <f t="shared" si="3"/>
        <v>12.820512820512821</v>
      </c>
      <c r="N16" s="241">
        <v>3000000000000</v>
      </c>
      <c r="O16" s="239">
        <f t="shared" si="4"/>
        <v>128.2051282051282</v>
      </c>
      <c r="P16" t="s">
        <v>25</v>
      </c>
    </row>
    <row r="17" spans="1:15" ht="15.75">
      <c r="A17" s="243"/>
      <c r="B17" s="237"/>
      <c r="C17" s="237"/>
      <c r="D17" s="237"/>
      <c r="E17" s="237"/>
      <c r="F17" s="237"/>
      <c r="G17" s="237"/>
      <c r="H17" s="237"/>
      <c r="I17" s="237"/>
      <c r="J17" s="243"/>
      <c r="K17" s="243"/>
      <c r="L17" s="243"/>
      <c r="M17" s="243"/>
      <c r="N17" s="243"/>
      <c r="O17" s="243"/>
    </row>
    <row r="18" spans="1:15" ht="21">
      <c r="A18" s="243"/>
      <c r="B18" s="243"/>
      <c r="C18" s="243"/>
      <c r="D18" s="243"/>
      <c r="E18" s="237">
        <f>SUM(E2:E16)</f>
        <v>86.591771860470089</v>
      </c>
      <c r="F18" s="243"/>
      <c r="G18" s="237">
        <f>SUM(G2:G17)</f>
        <v>124.56616441654636</v>
      </c>
      <c r="H18" s="237"/>
      <c r="I18" s="237">
        <f>SUM(I2:I16)</f>
        <v>79.703489276690263</v>
      </c>
      <c r="J18" s="243"/>
      <c r="K18" s="243">
        <f>SUM(K2:K17)</f>
        <v>84.264679713723936</v>
      </c>
      <c r="L18" s="243"/>
      <c r="M18" s="243">
        <f>SUM(M2:M17)</f>
        <v>52.3570464898376</v>
      </c>
      <c r="N18" s="244" t="s">
        <v>4340</v>
      </c>
      <c r="O18" s="244">
        <f>SUM(O2:O16)</f>
        <v>904.99458828418813</v>
      </c>
    </row>
    <row r="19" spans="1:15" ht="21">
      <c r="A19" s="243"/>
      <c r="B19" s="243"/>
      <c r="C19" s="243"/>
      <c r="D19" s="243"/>
      <c r="E19" s="243" t="s">
        <v>6</v>
      </c>
      <c r="F19" s="243"/>
      <c r="G19" s="243" t="s">
        <v>6</v>
      </c>
      <c r="H19" s="243"/>
      <c r="I19" s="243" t="s">
        <v>6</v>
      </c>
      <c r="J19" s="243"/>
      <c r="K19" s="243" t="s">
        <v>6</v>
      </c>
      <c r="L19" s="243"/>
      <c r="M19" s="243" t="s">
        <v>6</v>
      </c>
      <c r="N19" s="244" t="s">
        <v>4888</v>
      </c>
      <c r="O19" s="244">
        <v>390</v>
      </c>
    </row>
    <row r="20" spans="1:15" ht="21">
      <c r="A20" s="243"/>
      <c r="B20" s="243"/>
      <c r="C20" s="243"/>
      <c r="D20" s="243"/>
      <c r="E20" s="243"/>
      <c r="F20" s="243"/>
      <c r="G20" s="243"/>
      <c r="H20" s="243"/>
      <c r="I20" s="243"/>
      <c r="J20" s="243"/>
      <c r="K20" s="243"/>
      <c r="L20" s="243"/>
      <c r="M20" s="243"/>
      <c r="N20" s="244" t="s">
        <v>4889</v>
      </c>
      <c r="O20" s="244">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6771</v>
      </c>
      <c r="D1" s="123" t="s">
        <v>6772</v>
      </c>
      <c r="E1" s="123" t="s">
        <v>6773</v>
      </c>
      <c r="F1" s="123" t="s">
        <v>6774</v>
      </c>
      <c r="G1" s="248" t="s">
        <v>6479</v>
      </c>
      <c r="H1" s="123" t="s">
        <v>6478</v>
      </c>
      <c r="I1" s="123" t="s">
        <v>6700</v>
      </c>
      <c r="J1" s="123" t="s">
        <v>6704</v>
      </c>
      <c r="K1" s="248" t="s">
        <v>6480</v>
      </c>
      <c r="L1" s="123" t="s">
        <v>6481</v>
      </c>
      <c r="M1" s="123" t="s">
        <v>6028</v>
      </c>
      <c r="N1" s="123" t="s">
        <v>6489</v>
      </c>
      <c r="O1" s="123" t="s">
        <v>4163</v>
      </c>
      <c r="P1" s="123" t="s">
        <v>4791</v>
      </c>
      <c r="Q1" s="238" t="s">
        <v>5593</v>
      </c>
    </row>
    <row r="2" spans="1:17" ht="15.75">
      <c r="A2" s="239" t="s">
        <v>6482</v>
      </c>
      <c r="B2" s="240">
        <v>980726326</v>
      </c>
      <c r="C2" s="240">
        <f>'سهام بنیادی'!F21</f>
        <v>880</v>
      </c>
      <c r="D2" s="240">
        <f>B2*C2/$Q$2</f>
        <v>8.5028489347783243</v>
      </c>
      <c r="E2" s="240"/>
      <c r="F2" s="240"/>
      <c r="G2" s="240">
        <f>'سهام بنیادی'!D21</f>
        <v>798.6</v>
      </c>
      <c r="H2" s="240">
        <f t="shared" ref="H2:H19" si="0">B2*G2/$Q$2</f>
        <v>7.7163354083113296</v>
      </c>
      <c r="I2" s="240">
        <f>'سهام بنیادی'!E21</f>
        <v>765</v>
      </c>
      <c r="J2" s="240">
        <f>B2*I2/$Q$2</f>
        <v>7.3916811762561574</v>
      </c>
      <c r="K2" s="247">
        <f>'سهام بنیادی'!B21</f>
        <v>534.5</v>
      </c>
      <c r="L2" s="239">
        <f t="shared" ref="L2:L19" si="1">B2*K2/$Q$2</f>
        <v>5.1645144950443349</v>
      </c>
      <c r="M2" s="239">
        <f>'سهام بنیادی'!C21</f>
        <v>500</v>
      </c>
      <c r="N2" s="239">
        <f t="shared" ref="N2:N19" si="2">B2*M2/$Q$2</f>
        <v>4.8311641674876844</v>
      </c>
      <c r="O2" s="239">
        <f>'سهام بنیادی'!H21</f>
        <v>4790</v>
      </c>
      <c r="P2" s="239">
        <f t="shared" ref="P2:P19" si="3">B2*O2/$Q$2</f>
        <v>46.282552724532017</v>
      </c>
      <c r="Q2" s="240">
        <v>101500000000</v>
      </c>
    </row>
    <row r="3" spans="1:17" ht="15.75">
      <c r="A3" s="241" t="s">
        <v>4375</v>
      </c>
      <c r="B3" s="242">
        <v>15598500147</v>
      </c>
      <c r="C3" s="242">
        <f>'سهام بنیادی'!F11</f>
        <v>70</v>
      </c>
      <c r="D3" s="240">
        <f t="shared" ref="D3:D19" si="4">B3*C3/$Q$2</f>
        <v>10.757586308275862</v>
      </c>
      <c r="E3" s="242"/>
      <c r="F3" s="242"/>
      <c r="G3" s="242">
        <f>'سهام بنیادی'!D11</f>
        <v>66.7</v>
      </c>
      <c r="H3" s="240">
        <f t="shared" si="0"/>
        <v>10.250442953742857</v>
      </c>
      <c r="I3" s="240">
        <f>'سهام بنیادی'!E11</f>
        <v>52</v>
      </c>
      <c r="J3" s="240">
        <f t="shared" ref="J3:J19" si="5">B3*I3/$Q$2</f>
        <v>7.9913498290049265</v>
      </c>
      <c r="K3" s="245">
        <f>'سهام بنیادی'!B11</f>
        <v>197.6365868631062</v>
      </c>
      <c r="L3" s="239">
        <f t="shared" si="1"/>
        <v>30.372752012184634</v>
      </c>
      <c r="M3" s="241">
        <f>'سهام بنیادی'!C11</f>
        <v>196.43953345610805</v>
      </c>
      <c r="N3" s="239">
        <f t="shared" si="2"/>
        <v>30.188789078736086</v>
      </c>
      <c r="O3" s="241">
        <f>'سهام بنیادی'!H11</f>
        <v>660</v>
      </c>
      <c r="P3" s="239">
        <f t="shared" si="3"/>
        <v>101.42867090660098</v>
      </c>
    </row>
    <row r="4" spans="1:17" ht="15.75">
      <c r="A4" s="239" t="s">
        <v>6488</v>
      </c>
      <c r="B4" s="240">
        <v>1226605805</v>
      </c>
      <c r="C4" s="240">
        <f>'سهام بنیادی'!F42</f>
        <v>150</v>
      </c>
      <c r="D4" s="240">
        <f t="shared" si="4"/>
        <v>1.8127179384236454</v>
      </c>
      <c r="E4" s="240"/>
      <c r="F4" s="240"/>
      <c r="G4" s="240">
        <f>'سهام بنیادی'!D42</f>
        <v>132.9</v>
      </c>
      <c r="H4" s="240">
        <f t="shared" si="0"/>
        <v>1.6060680934433498</v>
      </c>
      <c r="I4" s="240">
        <f>'سهام بنیادی'!E42</f>
        <v>150</v>
      </c>
      <c r="J4" s="240">
        <f t="shared" si="5"/>
        <v>1.8127179384236454</v>
      </c>
      <c r="K4" s="247">
        <f>'سهام بنیادی'!B42</f>
        <v>108.8</v>
      </c>
      <c r="L4" s="239">
        <f t="shared" si="1"/>
        <v>1.3148247446699508</v>
      </c>
      <c r="M4" s="239">
        <f>'سهام بنیادی'!C42</f>
        <v>10.8</v>
      </c>
      <c r="N4" s="239">
        <f t="shared" si="2"/>
        <v>0.13051569156650247</v>
      </c>
      <c r="O4" s="239">
        <v>1242</v>
      </c>
      <c r="P4" s="239">
        <f t="shared" si="3"/>
        <v>15.009304530147784</v>
      </c>
    </row>
    <row r="5" spans="1:17" ht="15.75">
      <c r="A5" s="239" t="s">
        <v>6490</v>
      </c>
      <c r="B5" s="240">
        <v>1270296458</v>
      </c>
      <c r="C5" s="240">
        <f>'سهام بنیادی'!F59</f>
        <v>0</v>
      </c>
      <c r="D5" s="240">
        <f t="shared" si="4"/>
        <v>0</v>
      </c>
      <c r="E5" s="240"/>
      <c r="F5" s="240"/>
      <c r="G5" s="240">
        <f>'سهام بنیادی'!D59</f>
        <v>56.3</v>
      </c>
      <c r="H5" s="240">
        <f t="shared" si="0"/>
        <v>0.70460778901871912</v>
      </c>
      <c r="I5" s="240">
        <f>'سهام بنیادی'!E59</f>
        <v>74</v>
      </c>
      <c r="J5" s="240">
        <f t="shared" si="5"/>
        <v>0.92612746691625614</v>
      </c>
      <c r="K5" s="247">
        <f>'سهام بنیادی'!B59</f>
        <v>263.5</v>
      </c>
      <c r="L5" s="239">
        <f t="shared" si="1"/>
        <v>3.2977646963842364</v>
      </c>
      <c r="M5" s="239">
        <f>'سهام بنیادی'!C59</f>
        <v>245</v>
      </c>
      <c r="N5" s="239">
        <f t="shared" si="2"/>
        <v>3.0662328296551724</v>
      </c>
      <c r="O5" s="239">
        <f>'سهام بنیادی'!H59</f>
        <v>1430</v>
      </c>
      <c r="P5" s="239">
        <f t="shared" si="3"/>
        <v>17.89678753635468</v>
      </c>
    </row>
    <row r="6" spans="1:17" ht="15.75">
      <c r="A6" s="241" t="s">
        <v>5600</v>
      </c>
      <c r="B6" s="242">
        <v>1336082292</v>
      </c>
      <c r="C6" s="242">
        <f>'سهام بنیادی'!F12</f>
        <v>1400</v>
      </c>
      <c r="D6" s="240">
        <f t="shared" si="4"/>
        <v>18.428721268965518</v>
      </c>
      <c r="E6" s="242"/>
      <c r="F6" s="242"/>
      <c r="G6" s="242">
        <f>'سهام بنیادی'!D12</f>
        <v>1769.9</v>
      </c>
      <c r="H6" s="240">
        <f t="shared" si="0"/>
        <v>23.297852695672908</v>
      </c>
      <c r="I6" s="240">
        <f>'سهام بنیادی'!E12</f>
        <v>1750</v>
      </c>
      <c r="J6" s="240">
        <f t="shared" si="5"/>
        <v>23.035901586206897</v>
      </c>
      <c r="K6" s="245">
        <f>'سهام بنیادی'!B12</f>
        <v>1454.9</v>
      </c>
      <c r="L6" s="239">
        <f t="shared" si="1"/>
        <v>19.151390410155667</v>
      </c>
      <c r="M6" s="241">
        <f>'سهام بنیادی'!C12</f>
        <v>1150</v>
      </c>
      <c r="N6" s="239">
        <f t="shared" si="2"/>
        <v>15.137878185221675</v>
      </c>
      <c r="O6" s="241">
        <f>'سهام بنیادی'!H12</f>
        <v>19200</v>
      </c>
      <c r="P6" s="239">
        <f t="shared" si="3"/>
        <v>252.73674883152708</v>
      </c>
    </row>
    <row r="7" spans="1:17" ht="15.75">
      <c r="A7" s="239" t="s">
        <v>4283</v>
      </c>
      <c r="B7" s="240">
        <v>1344540394</v>
      </c>
      <c r="C7" s="240">
        <f>'سهام بنیادی'!F8</f>
        <v>600</v>
      </c>
      <c r="D7" s="240">
        <f t="shared" si="4"/>
        <v>7.9480220334975371</v>
      </c>
      <c r="E7" s="240"/>
      <c r="F7" s="240"/>
      <c r="G7" s="240">
        <f>'سهام بنیادی'!D8</f>
        <v>684</v>
      </c>
      <c r="H7" s="240">
        <f t="shared" si="0"/>
        <v>9.0607451181871923</v>
      </c>
      <c r="I7" s="240">
        <f>'سهام بنیادی'!E8</f>
        <v>690</v>
      </c>
      <c r="J7" s="240">
        <f t="shared" si="5"/>
        <v>9.1402253385221677</v>
      </c>
      <c r="K7" s="247">
        <f>'سهام بنیادی'!B8</f>
        <v>424</v>
      </c>
      <c r="L7" s="239">
        <f t="shared" si="1"/>
        <v>5.6166022370049262</v>
      </c>
      <c r="M7" s="239">
        <f>'سهام بنیادی'!C8</f>
        <v>370</v>
      </c>
      <c r="N7" s="239">
        <f t="shared" si="2"/>
        <v>4.9012802539901479</v>
      </c>
      <c r="O7" s="239">
        <f>'سهام بنیادی'!H8</f>
        <v>3100</v>
      </c>
      <c r="P7" s="239">
        <f t="shared" si="3"/>
        <v>41.064780506403942</v>
      </c>
    </row>
    <row r="8" spans="1:17" ht="15.75">
      <c r="A8" s="241" t="s">
        <v>6491</v>
      </c>
      <c r="B8" s="242">
        <v>1200002514</v>
      </c>
      <c r="C8" s="242">
        <f>'سهام بنیادی'!F22</f>
        <v>100</v>
      </c>
      <c r="D8" s="240">
        <f t="shared" si="4"/>
        <v>1.1822684866995075</v>
      </c>
      <c r="E8" s="242"/>
      <c r="F8" s="242"/>
      <c r="G8" s="242">
        <f>'سهام بنیادی'!D22</f>
        <v>273.60000000000002</v>
      </c>
      <c r="H8" s="240">
        <f t="shared" si="0"/>
        <v>3.2346865796098525</v>
      </c>
      <c r="I8" s="240">
        <f>'سهام بنیادی'!E22</f>
        <v>220</v>
      </c>
      <c r="J8" s="240">
        <f t="shared" si="5"/>
        <v>2.6009906707389163</v>
      </c>
      <c r="K8" s="245">
        <f>'سهام بنیادی'!B22</f>
        <v>122.7</v>
      </c>
      <c r="L8" s="239">
        <f t="shared" si="1"/>
        <v>1.4506434331802958</v>
      </c>
      <c r="M8" s="241">
        <f>'سهام بنیادی'!C22</f>
        <v>155</v>
      </c>
      <c r="N8" s="239">
        <f t="shared" si="2"/>
        <v>1.8325161543842365</v>
      </c>
      <c r="O8" s="241">
        <f>'سهام بنیادی'!H22</f>
        <v>1399</v>
      </c>
      <c r="P8" s="239">
        <f t="shared" si="3"/>
        <v>16.539936128926108</v>
      </c>
    </row>
    <row r="9" spans="1:17" ht="15.75">
      <c r="A9" s="239" t="s">
        <v>4376</v>
      </c>
      <c r="B9" s="240">
        <v>1114663695</v>
      </c>
      <c r="C9" s="240">
        <f>'سهام بنیادی'!F13</f>
        <v>670</v>
      </c>
      <c r="D9" s="240">
        <f t="shared" si="4"/>
        <v>7.357878577832512</v>
      </c>
      <c r="E9" s="240"/>
      <c r="F9" s="240"/>
      <c r="G9" s="240">
        <f>'سهام بنیادی'!D13</f>
        <v>474.9</v>
      </c>
      <c r="H9" s="240">
        <f t="shared" si="0"/>
        <v>5.2153082636009849</v>
      </c>
      <c r="I9" s="240">
        <f>'سهام بنیادی'!E13</f>
        <v>500</v>
      </c>
      <c r="J9" s="240">
        <f t="shared" si="5"/>
        <v>5.4909541625615761</v>
      </c>
      <c r="K9" s="247">
        <f>'سهام بنیادی'!B13</f>
        <v>563.70000000000005</v>
      </c>
      <c r="L9" s="239">
        <f t="shared" si="1"/>
        <v>6.1905017228719208</v>
      </c>
      <c r="M9" s="239">
        <f>'سهام بنیادی'!C13</f>
        <v>520</v>
      </c>
      <c r="N9" s="239">
        <f t="shared" si="2"/>
        <v>5.7105923290640392</v>
      </c>
      <c r="O9" s="239">
        <f>'سهام بنیادی'!H13</f>
        <v>3802</v>
      </c>
      <c r="P9" s="239">
        <f t="shared" si="3"/>
        <v>41.753215452118226</v>
      </c>
    </row>
    <row r="10" spans="1:17" ht="15.75">
      <c r="A10" s="241" t="s">
        <v>5566</v>
      </c>
      <c r="B10" s="242">
        <v>3029761799</v>
      </c>
      <c r="C10" s="242">
        <f>'سهام بنیادی'!F14</f>
        <v>600</v>
      </c>
      <c r="D10" s="240">
        <f t="shared" si="4"/>
        <v>17.909921964532021</v>
      </c>
      <c r="E10" s="242"/>
      <c r="F10" s="242"/>
      <c r="G10" s="242">
        <f>'سهام بنیادی'!D14</f>
        <v>535</v>
      </c>
      <c r="H10" s="240">
        <f t="shared" si="0"/>
        <v>15.969680418374384</v>
      </c>
      <c r="I10" s="240">
        <f>'سهام بنیادی'!E14</f>
        <v>500</v>
      </c>
      <c r="J10" s="240">
        <f t="shared" si="5"/>
        <v>14.924934970443349</v>
      </c>
      <c r="K10" s="245">
        <f>'سهام بنیادی'!B14</f>
        <v>726.7</v>
      </c>
      <c r="L10" s="239">
        <f t="shared" si="1"/>
        <v>21.691900486042368</v>
      </c>
      <c r="M10" s="241">
        <f>'سهام بنیادی'!C14</f>
        <v>650</v>
      </c>
      <c r="N10" s="239">
        <f t="shared" si="2"/>
        <v>19.402415461576354</v>
      </c>
      <c r="O10" s="241">
        <f>'سهام بنیادی'!H14</f>
        <v>3920</v>
      </c>
      <c r="P10" s="239">
        <f t="shared" si="3"/>
        <v>117.01149016827586</v>
      </c>
    </row>
    <row r="11" spans="1:17" ht="15.75">
      <c r="A11" s="239" t="s">
        <v>4718</v>
      </c>
      <c r="B11" s="240">
        <v>772286749</v>
      </c>
      <c r="C11" s="240">
        <f>'سهام بنیادی'!F7</f>
        <v>2800</v>
      </c>
      <c r="D11" s="240">
        <f t="shared" si="4"/>
        <v>21.30446204137931</v>
      </c>
      <c r="E11" s="240"/>
      <c r="F11" s="240"/>
      <c r="G11" s="240">
        <f>'سهام بنیادی'!D7</f>
        <v>1813</v>
      </c>
      <c r="H11" s="240">
        <f t="shared" si="0"/>
        <v>13.794639171793104</v>
      </c>
      <c r="I11" s="240">
        <f>'سهام بنیادی'!E7</f>
        <v>1435</v>
      </c>
      <c r="J11" s="240">
        <f t="shared" si="5"/>
        <v>10.918536796206897</v>
      </c>
      <c r="K11" s="247">
        <f>'سهام بنیادی'!B7</f>
        <v>803</v>
      </c>
      <c r="L11" s="239">
        <f t="shared" si="1"/>
        <v>6.1098153640098518</v>
      </c>
      <c r="M11" s="239">
        <f>'سهام بنیادی'!C7</f>
        <v>590</v>
      </c>
      <c r="N11" s="239">
        <f t="shared" si="2"/>
        <v>4.4891545015763548</v>
      </c>
      <c r="O11" s="239">
        <f>'سهام بنیادی'!H7</f>
        <v>11550</v>
      </c>
      <c r="P11" s="239">
        <f t="shared" si="3"/>
        <v>87.880905920689656</v>
      </c>
    </row>
    <row r="12" spans="1:17" ht="21">
      <c r="A12" s="241" t="s">
        <v>5596</v>
      </c>
      <c r="B12" s="242">
        <v>37273882273</v>
      </c>
      <c r="C12" s="242">
        <f>'سهام بنیادی'!F41</f>
        <v>113</v>
      </c>
      <c r="D12" s="240">
        <f t="shared" si="4"/>
        <v>41.49703149604926</v>
      </c>
      <c r="E12" s="242"/>
      <c r="F12" s="242"/>
      <c r="G12" s="242">
        <f>'سهام بنیادی'!D41</f>
        <v>113</v>
      </c>
      <c r="H12" s="240">
        <f t="shared" si="0"/>
        <v>41.49703149604926</v>
      </c>
      <c r="I12" s="240">
        <f>'سهام بنیادی'!E41</f>
        <v>50</v>
      </c>
      <c r="J12" s="240">
        <f t="shared" si="5"/>
        <v>18.361518361083743</v>
      </c>
      <c r="K12" s="245">
        <f>'سهام بنیادی'!B41</f>
        <v>85.941176470588232</v>
      </c>
      <c r="L12" s="239">
        <f t="shared" si="1"/>
        <v>31.560209794756879</v>
      </c>
      <c r="M12" s="246">
        <f>'سهام بنیادی'!C41</f>
        <v>20.470588235294116</v>
      </c>
      <c r="N12" s="249">
        <f t="shared" si="2"/>
        <v>7.5174216348907557</v>
      </c>
      <c r="O12" s="241">
        <f>'سهام بنیادی'!H41</f>
        <v>765</v>
      </c>
      <c r="P12" s="239">
        <f t="shared" si="3"/>
        <v>280.93123092458126</v>
      </c>
    </row>
    <row r="13" spans="1:17" ht="15.75">
      <c r="A13" s="239" t="s">
        <v>6483</v>
      </c>
      <c r="B13" s="240">
        <v>880634647</v>
      </c>
      <c r="C13" s="240">
        <f>'سهام بنیادی'!F9</f>
        <v>1500</v>
      </c>
      <c r="D13" s="240">
        <f t="shared" si="4"/>
        <v>13.014305128078817</v>
      </c>
      <c r="E13" s="240"/>
      <c r="F13" s="240"/>
      <c r="G13" s="240">
        <f>'سهام بنیادی'!D9</f>
        <v>1518.9</v>
      </c>
      <c r="H13" s="240">
        <f t="shared" si="0"/>
        <v>13.178285372692612</v>
      </c>
      <c r="I13" s="240">
        <f>'سهام بنیادی'!E9</f>
        <v>1360</v>
      </c>
      <c r="J13" s="240">
        <f t="shared" si="5"/>
        <v>11.799636649458128</v>
      </c>
      <c r="K13" s="247">
        <f>'سهام بنیادی'!B9</f>
        <v>1019</v>
      </c>
      <c r="L13" s="239">
        <f t="shared" si="1"/>
        <v>8.8410512836748776</v>
      </c>
      <c r="M13" s="239">
        <f>'سهام بنیادی'!C9</f>
        <v>1000</v>
      </c>
      <c r="N13" s="239">
        <f t="shared" si="2"/>
        <v>8.6762034187192114</v>
      </c>
      <c r="O13" s="239">
        <f>'سهام بنیادی'!H9</f>
        <v>6906</v>
      </c>
      <c r="P13" s="239">
        <f t="shared" si="3"/>
        <v>59.917860809674877</v>
      </c>
    </row>
    <row r="14" spans="1:17" ht="15.75">
      <c r="A14" s="241" t="s">
        <v>5149</v>
      </c>
      <c r="B14" s="242">
        <v>5351332707</v>
      </c>
      <c r="C14" s="242">
        <f>'سهام بنیادی'!F43</f>
        <v>150</v>
      </c>
      <c r="D14" s="240">
        <f t="shared" si="4"/>
        <v>7.90837345862069</v>
      </c>
      <c r="E14" s="242"/>
      <c r="F14" s="242"/>
      <c r="G14" s="242">
        <f>'سهام بنیادی'!D43</f>
        <v>143.4</v>
      </c>
      <c r="H14" s="240">
        <f t="shared" si="0"/>
        <v>7.56040502644138</v>
      </c>
      <c r="I14" s="240">
        <f>'سهام بنیادی'!E43</f>
        <v>130</v>
      </c>
      <c r="J14" s="240">
        <f t="shared" si="5"/>
        <v>6.8539236641379313</v>
      </c>
      <c r="K14" s="245">
        <f>'سهام بنیادی'!B43</f>
        <v>115.1</v>
      </c>
      <c r="L14" s="239">
        <f t="shared" si="1"/>
        <v>6.0683585672482749</v>
      </c>
      <c r="M14" s="241">
        <f>'سهام بنیادی'!C43</f>
        <v>82.5</v>
      </c>
      <c r="N14" s="239">
        <f t="shared" si="2"/>
        <v>4.3496054022413793</v>
      </c>
      <c r="O14" s="241">
        <f>'سهام بنیادی'!H43</f>
        <v>900</v>
      </c>
      <c r="P14" s="239">
        <f t="shared" si="3"/>
        <v>47.450240751724138</v>
      </c>
    </row>
    <row r="15" spans="1:17" ht="15.75">
      <c r="A15" s="239" t="s">
        <v>6484</v>
      </c>
      <c r="B15" s="240">
        <v>1376998000</v>
      </c>
      <c r="C15" s="240">
        <f>'سهام بنیادی'!F15</f>
        <v>1520</v>
      </c>
      <c r="D15" s="240">
        <f t="shared" si="4"/>
        <v>20.621053793103449</v>
      </c>
      <c r="E15" s="240"/>
      <c r="F15" s="240"/>
      <c r="G15" s="240">
        <f>'سهام بنیادی'!D15</f>
        <v>1461.6</v>
      </c>
      <c r="H15" s="240">
        <f t="shared" si="0"/>
        <v>19.828771199999998</v>
      </c>
      <c r="I15" s="240">
        <f>'سهام بنیادی'!E15</f>
        <v>1400</v>
      </c>
      <c r="J15" s="240">
        <f t="shared" si="5"/>
        <v>18.993075862068967</v>
      </c>
      <c r="K15" s="247">
        <f>'سهام بنیادی'!B15</f>
        <v>1371.1</v>
      </c>
      <c r="L15" s="239">
        <f t="shared" si="1"/>
        <v>18.601004510344826</v>
      </c>
      <c r="M15" s="239">
        <f>'سهام بنیادی'!C15</f>
        <v>1420</v>
      </c>
      <c r="N15" s="239">
        <f t="shared" si="2"/>
        <v>19.264405517241379</v>
      </c>
      <c r="O15" s="239">
        <f>'سهام بنیادی'!H15</f>
        <v>9312</v>
      </c>
      <c r="P15" s="239">
        <f t="shared" si="3"/>
        <v>126.33108744827587</v>
      </c>
      <c r="Q15" t="s">
        <v>25</v>
      </c>
    </row>
    <row r="16" spans="1:17" ht="15.75">
      <c r="A16" s="239" t="s">
        <v>6485</v>
      </c>
      <c r="B16" s="240">
        <v>1</v>
      </c>
      <c r="C16" s="240">
        <v>800000000000</v>
      </c>
      <c r="D16" s="240">
        <f t="shared" si="4"/>
        <v>7.8817733990147785</v>
      </c>
      <c r="E16" s="240"/>
      <c r="F16" s="240"/>
      <c r="G16" s="240">
        <v>800000000000</v>
      </c>
      <c r="H16" s="240">
        <f t="shared" si="0"/>
        <v>7.8817733990147785</v>
      </c>
      <c r="I16" s="240">
        <v>800000000000</v>
      </c>
      <c r="J16" s="240">
        <f t="shared" si="5"/>
        <v>7.8817733990147785</v>
      </c>
      <c r="K16" s="247">
        <v>500000000000</v>
      </c>
      <c r="L16" s="239">
        <f t="shared" si="1"/>
        <v>4.9261083743842367</v>
      </c>
      <c r="M16" s="239">
        <v>500000000000</v>
      </c>
      <c r="N16" s="239">
        <f t="shared" si="2"/>
        <v>4.9261083743842367</v>
      </c>
      <c r="O16" s="239">
        <v>1800000000000</v>
      </c>
      <c r="P16" s="239">
        <f t="shared" si="3"/>
        <v>17.733990147783253</v>
      </c>
      <c r="Q16" t="s">
        <v>25</v>
      </c>
    </row>
    <row r="17" spans="1:16" ht="15.75">
      <c r="A17" s="241" t="s">
        <v>6486</v>
      </c>
      <c r="B17" s="242">
        <v>12494998000</v>
      </c>
      <c r="C17" s="242">
        <v>800</v>
      </c>
      <c r="D17" s="240">
        <f t="shared" si="4"/>
        <v>98.482742857142853</v>
      </c>
      <c r="E17" s="242"/>
      <c r="F17" s="242"/>
      <c r="G17" s="242">
        <f>'سهام بنیادی'!D23</f>
        <v>639.79999999999995</v>
      </c>
      <c r="H17" s="240">
        <f t="shared" si="0"/>
        <v>78.761573599999991</v>
      </c>
      <c r="I17" s="240">
        <f>'سهام بنیادی'!E23</f>
        <v>320</v>
      </c>
      <c r="J17" s="240">
        <f t="shared" si="5"/>
        <v>39.393097142857144</v>
      </c>
      <c r="K17" s="245">
        <f>'سهام بنیادی'!B23</f>
        <v>595</v>
      </c>
      <c r="L17" s="239">
        <f t="shared" si="1"/>
        <v>73.246539999999996</v>
      </c>
      <c r="M17" s="241">
        <f>'سهام بنیادی'!C23</f>
        <v>59.5</v>
      </c>
      <c r="N17" s="239">
        <f t="shared" si="2"/>
        <v>7.3246539999999998</v>
      </c>
      <c r="O17" s="241">
        <f>'سهام بنیادی'!H23</f>
        <v>9000</v>
      </c>
      <c r="P17" s="239">
        <f t="shared" si="3"/>
        <v>1107.9308571428571</v>
      </c>
    </row>
    <row r="18" spans="1:16" ht="15.75">
      <c r="A18" s="239" t="s">
        <v>6487</v>
      </c>
      <c r="B18" s="240">
        <v>3062221439</v>
      </c>
      <c r="C18" s="240">
        <v>30</v>
      </c>
      <c r="D18" s="240">
        <f t="shared" si="4"/>
        <v>0.90509008049261086</v>
      </c>
      <c r="E18" s="240"/>
      <c r="F18" s="240"/>
      <c r="G18" s="240">
        <v>30</v>
      </c>
      <c r="H18" s="240">
        <f t="shared" si="0"/>
        <v>0.90509008049261086</v>
      </c>
      <c r="I18" s="240">
        <v>20</v>
      </c>
      <c r="J18" s="240">
        <f t="shared" si="5"/>
        <v>0.60339338699507394</v>
      </c>
      <c r="K18" s="247">
        <v>20</v>
      </c>
      <c r="L18" s="239">
        <f t="shared" si="1"/>
        <v>0.60339338699507394</v>
      </c>
      <c r="M18" s="239">
        <v>2</v>
      </c>
      <c r="N18" s="239">
        <f t="shared" si="2"/>
        <v>6.0339338699507389E-2</v>
      </c>
      <c r="O18" s="239">
        <v>2000</v>
      </c>
      <c r="P18" s="239">
        <f t="shared" si="3"/>
        <v>60.339338699507387</v>
      </c>
    </row>
    <row r="19" spans="1:16" ht="15.75">
      <c r="A19" s="241" t="s">
        <v>6057</v>
      </c>
      <c r="B19" s="242">
        <v>1</v>
      </c>
      <c r="C19" s="242">
        <v>750000000000</v>
      </c>
      <c r="D19" s="240">
        <f t="shared" si="4"/>
        <v>7.389162561576355</v>
      </c>
      <c r="E19" s="242"/>
      <c r="F19" s="242"/>
      <c r="G19" s="242">
        <v>750000000000</v>
      </c>
      <c r="H19" s="240">
        <f t="shared" si="0"/>
        <v>7.389162561576355</v>
      </c>
      <c r="I19" s="240">
        <v>700000000000</v>
      </c>
      <c r="J19" s="240">
        <f t="shared" si="5"/>
        <v>6.8965517241379306</v>
      </c>
      <c r="K19" s="242">
        <v>500000000000</v>
      </c>
      <c r="L19" s="239">
        <f t="shared" si="1"/>
        <v>4.9261083743842367</v>
      </c>
      <c r="M19" s="242">
        <v>300000000000</v>
      </c>
      <c r="N19" s="239">
        <f t="shared" si="2"/>
        <v>2.9556650246305418</v>
      </c>
      <c r="O19" s="241">
        <v>4000000000000</v>
      </c>
      <c r="P19" s="239">
        <f t="shared" si="3"/>
        <v>39.408866995073893</v>
      </c>
    </row>
    <row r="20" spans="1:16" ht="15.75">
      <c r="A20" s="243"/>
      <c r="B20" s="237"/>
      <c r="C20" s="237"/>
      <c r="D20" s="237"/>
      <c r="E20" s="237"/>
      <c r="F20" s="237"/>
      <c r="G20" s="237"/>
      <c r="H20" s="237"/>
      <c r="I20" s="237"/>
      <c r="J20" s="237"/>
      <c r="K20" s="243"/>
      <c r="L20" s="243"/>
      <c r="M20" s="243"/>
      <c r="N20" s="243"/>
      <c r="O20" s="243"/>
      <c r="P20" s="243"/>
    </row>
    <row r="21" spans="1:16" ht="21">
      <c r="A21" s="243"/>
      <c r="B21" s="243"/>
      <c r="C21" s="243"/>
      <c r="D21" s="237">
        <f>SUM(D2:D19)</f>
        <v>292.90396032846303</v>
      </c>
      <c r="E21" s="243"/>
      <c r="F21" s="243">
        <f>D21*J21/H21</f>
        <v>213.25573474745008</v>
      </c>
      <c r="G21" s="243"/>
      <c r="H21" s="237">
        <f>SUM(H2:H20)</f>
        <v>267.85245922802164</v>
      </c>
      <c r="I21" s="237"/>
      <c r="J21" s="237">
        <f>SUM(J2:J19)</f>
        <v>195.01639012503449</v>
      </c>
      <c r="K21" s="243"/>
      <c r="L21" s="243">
        <f>SUM(L3:L20)</f>
        <v>243.96896939829227</v>
      </c>
      <c r="M21" s="243"/>
      <c r="N21" s="243">
        <f>SUM(N2:N20)</f>
        <v>144.76494136406527</v>
      </c>
      <c r="O21" s="244" t="s">
        <v>4340</v>
      </c>
      <c r="P21" s="244">
        <f>SUM(P2:P19)</f>
        <v>2477.6478656250542</v>
      </c>
    </row>
    <row r="22" spans="1:16" ht="21">
      <c r="A22" s="243"/>
      <c r="B22" s="243"/>
      <c r="C22" s="243"/>
      <c r="D22" s="243" t="s">
        <v>6</v>
      </c>
      <c r="E22" s="243"/>
      <c r="F22" s="243"/>
      <c r="G22" s="243"/>
      <c r="H22" s="243" t="s">
        <v>6</v>
      </c>
      <c r="I22" s="243"/>
      <c r="J22" s="243" t="s">
        <v>6</v>
      </c>
      <c r="K22" s="243"/>
      <c r="L22" s="243" t="s">
        <v>6</v>
      </c>
      <c r="M22" s="243"/>
      <c r="N22" s="243" t="s">
        <v>6</v>
      </c>
      <c r="O22" s="244" t="s">
        <v>4888</v>
      </c>
      <c r="P22" s="244">
        <v>1005</v>
      </c>
    </row>
    <row r="23" spans="1:16" ht="21">
      <c r="A23" s="243"/>
      <c r="B23" s="243"/>
      <c r="C23" s="243"/>
      <c r="D23" s="243"/>
      <c r="E23" s="243"/>
      <c r="F23" s="243"/>
      <c r="G23" s="243"/>
      <c r="H23" s="243"/>
      <c r="I23" s="243"/>
      <c r="J23" s="243"/>
      <c r="K23" s="243"/>
      <c r="L23" s="243"/>
      <c r="M23" s="243"/>
      <c r="N23" s="243"/>
      <c r="O23" s="244" t="s">
        <v>4889</v>
      </c>
      <c r="P23" s="244">
        <f>P22/P21</f>
        <v>0.40562664854170521</v>
      </c>
    </row>
    <row r="31" spans="1:16">
      <c r="A31" t="s">
        <v>5593</v>
      </c>
    </row>
    <row r="32" spans="1:16">
      <c r="A32">
        <v>140</v>
      </c>
    </row>
    <row r="33" spans="1:11">
      <c r="B33">
        <v>15</v>
      </c>
      <c r="C33">
        <v>160</v>
      </c>
      <c r="D33">
        <f>B33/C33</f>
        <v>9.375E-2</v>
      </c>
      <c r="E33">
        <f>D33+1</f>
        <v>1.09375</v>
      </c>
    </row>
    <row r="34" spans="1:11">
      <c r="B34">
        <v>40</v>
      </c>
      <c r="C34">
        <v>270</v>
      </c>
      <c r="D34" s="324">
        <f t="shared" ref="D34:D37" si="6">B34/C34</f>
        <v>0.14814814814814814</v>
      </c>
      <c r="E34">
        <f>(1+D34)*E33</f>
        <v>1.255787037037037</v>
      </c>
    </row>
    <row r="35" spans="1:11">
      <c r="B35">
        <v>63</v>
      </c>
      <c r="C35">
        <v>1860</v>
      </c>
      <c r="D35" s="324">
        <f t="shared" si="6"/>
        <v>3.3870967741935487E-2</v>
      </c>
      <c r="E35" s="324">
        <f t="shared" ref="E35:E37" si="7">(1+D35)*E34</f>
        <v>1.2983217592592593</v>
      </c>
    </row>
    <row r="36" spans="1:11">
      <c r="B36">
        <v>193</v>
      </c>
      <c r="C36">
        <v>1330</v>
      </c>
      <c r="D36" s="324">
        <f t="shared" si="6"/>
        <v>0.14511278195488722</v>
      </c>
      <c r="E36" s="324">
        <f t="shared" si="7"/>
        <v>1.4867248416179337</v>
      </c>
    </row>
    <row r="37" spans="1:11">
      <c r="B37">
        <v>215</v>
      </c>
      <c r="C37">
        <v>1200</v>
      </c>
      <c r="D37" s="324">
        <f t="shared" si="6"/>
        <v>0.17916666666666667</v>
      </c>
      <c r="E37" s="324">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4">
        <f t="shared" ref="D49:D51" si="8">B49/C49</f>
        <v>5.4444444444444441E-2</v>
      </c>
      <c r="E49">
        <f>(1+D49)*E48</f>
        <v>1.2095098039215686</v>
      </c>
    </row>
    <row r="50" spans="1:6">
      <c r="B50">
        <v>80</v>
      </c>
      <c r="C50">
        <v>1050</v>
      </c>
      <c r="D50" s="324">
        <f t="shared" si="8"/>
        <v>7.6190476190476197E-2</v>
      </c>
      <c r="E50" s="324">
        <f t="shared" ref="E50:E51" si="9">(1+D50)*E49</f>
        <v>1.3016629318394024</v>
      </c>
    </row>
    <row r="51" spans="1:6">
      <c r="B51">
        <v>193</v>
      </c>
      <c r="C51">
        <v>1400</v>
      </c>
      <c r="D51" s="324">
        <f t="shared" si="8"/>
        <v>0.13785714285714284</v>
      </c>
      <c r="E51" s="324">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65"/>
  <sheetViews>
    <sheetView topLeftCell="A25" workbookViewId="0">
      <selection activeCell="H63" sqref="H63"/>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6627</v>
      </c>
      <c r="C1" s="28" t="s">
        <v>6628</v>
      </c>
      <c r="D1" s="28" t="s">
        <v>6629</v>
      </c>
      <c r="E1" s="279" t="s">
        <v>6703</v>
      </c>
      <c r="F1" s="279" t="s">
        <v>6767</v>
      </c>
      <c r="G1" s="279" t="s">
        <v>6768</v>
      </c>
      <c r="H1" s="279"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5341</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6483</v>
      </c>
      <c r="B9" s="222">
        <v>1019</v>
      </c>
      <c r="C9" s="222">
        <v>1000</v>
      </c>
      <c r="D9" s="222">
        <v>1518.9</v>
      </c>
      <c r="E9" s="222">
        <v>1360</v>
      </c>
      <c r="F9" s="222">
        <v>1500</v>
      </c>
      <c r="G9" s="222"/>
      <c r="H9" s="222">
        <v>6906</v>
      </c>
    </row>
    <row r="10" spans="1:11">
      <c r="A10" s="28" t="s">
        <v>6508</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5600</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5566</v>
      </c>
      <c r="B14" s="222">
        <v>726.7</v>
      </c>
      <c r="C14" s="222">
        <v>650</v>
      </c>
      <c r="D14" s="222">
        <v>535</v>
      </c>
      <c r="E14" s="222">
        <v>500</v>
      </c>
      <c r="F14" s="222">
        <v>600</v>
      </c>
      <c r="G14" s="222"/>
      <c r="H14" s="222">
        <v>3920</v>
      </c>
    </row>
    <row r="15" spans="1:11">
      <c r="A15" s="28" t="s">
        <v>6484</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6152</v>
      </c>
      <c r="B18" s="222">
        <v>100</v>
      </c>
      <c r="C18" s="222">
        <v>82</v>
      </c>
      <c r="D18" s="222">
        <v>169.4</v>
      </c>
      <c r="E18" s="222">
        <v>135</v>
      </c>
      <c r="F18" s="222"/>
      <c r="G18" s="222"/>
      <c r="H18" s="222">
        <v>955</v>
      </c>
    </row>
    <row r="19" spans="1:10">
      <c r="A19" s="28" t="s">
        <v>6154</v>
      </c>
      <c r="B19" s="222">
        <f>556/3</f>
        <v>185.33333333333334</v>
      </c>
      <c r="C19" s="222">
        <f>417.5/3</f>
        <v>139.16666666666666</v>
      </c>
      <c r="D19" s="222">
        <f>600/3</f>
        <v>200</v>
      </c>
      <c r="E19" s="222">
        <f>585/3</f>
        <v>195</v>
      </c>
      <c r="F19" s="222"/>
      <c r="G19" s="222"/>
      <c r="H19" s="222">
        <v>1670</v>
      </c>
      <c r="J19" t="s">
        <v>25</v>
      </c>
    </row>
    <row r="20" spans="1:10">
      <c r="A20" s="28" t="s">
        <v>6153</v>
      </c>
      <c r="B20" s="222">
        <f>2017/10.75</f>
        <v>187.62790697674419</v>
      </c>
      <c r="C20" s="222">
        <f>1413/10.75</f>
        <v>131.44186046511629</v>
      </c>
      <c r="D20" s="222">
        <v>250</v>
      </c>
      <c r="E20" s="222"/>
      <c r="F20" s="222"/>
      <c r="G20" s="222"/>
      <c r="H20" s="222">
        <v>1428</v>
      </c>
      <c r="J20" t="s">
        <v>25</v>
      </c>
    </row>
    <row r="21" spans="1:10">
      <c r="A21" s="28" t="s">
        <v>6769</v>
      </c>
      <c r="B21" s="222">
        <v>534.5</v>
      </c>
      <c r="C21" s="222">
        <v>500</v>
      </c>
      <c r="D21" s="222">
        <v>798.6</v>
      </c>
      <c r="E21" s="222">
        <v>765</v>
      </c>
      <c r="F21" s="222">
        <v>880</v>
      </c>
      <c r="G21" s="222"/>
      <c r="H21" s="222">
        <v>4790</v>
      </c>
    </row>
    <row r="22" spans="1:10">
      <c r="A22" s="28" t="s">
        <v>6491</v>
      </c>
      <c r="B22" s="222">
        <v>122.7</v>
      </c>
      <c r="C22" s="222">
        <v>155</v>
      </c>
      <c r="D22" s="222">
        <v>273.60000000000002</v>
      </c>
      <c r="E22" s="222">
        <v>220</v>
      </c>
      <c r="F22" s="222">
        <v>100</v>
      </c>
      <c r="G22" s="222"/>
      <c r="H22" s="222">
        <v>1399</v>
      </c>
      <c r="J22" t="s">
        <v>25</v>
      </c>
    </row>
    <row r="23" spans="1:10">
      <c r="A23" s="28" t="s">
        <v>6770</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5591</v>
      </c>
      <c r="B25" s="222">
        <v>173</v>
      </c>
      <c r="C25" s="222">
        <v>170</v>
      </c>
      <c r="D25" s="222">
        <v>431</v>
      </c>
      <c r="E25" s="222">
        <v>400</v>
      </c>
      <c r="F25" s="222">
        <v>630</v>
      </c>
      <c r="G25" s="222">
        <v>600</v>
      </c>
      <c r="H25" s="222">
        <v>4375</v>
      </c>
      <c r="J25" t="s">
        <v>25</v>
      </c>
    </row>
    <row r="26" spans="1:10">
      <c r="A26" s="28" t="s">
        <v>6053</v>
      </c>
      <c r="B26" s="222">
        <v>95</v>
      </c>
      <c r="C26" s="222">
        <v>65</v>
      </c>
      <c r="D26" s="222">
        <v>175</v>
      </c>
      <c r="E26" s="222">
        <v>127</v>
      </c>
      <c r="F26" s="222">
        <v>120</v>
      </c>
      <c r="G26" s="222">
        <v>90</v>
      </c>
      <c r="H26" s="222">
        <v>1229</v>
      </c>
    </row>
    <row r="27" spans="1:10">
      <c r="A27" s="28" t="s">
        <v>5590</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6505</v>
      </c>
      <c r="B29" s="222">
        <v>130.6</v>
      </c>
      <c r="C29" s="222">
        <v>40</v>
      </c>
      <c r="D29" s="222">
        <v>369</v>
      </c>
      <c r="E29" s="222">
        <v>170</v>
      </c>
      <c r="F29" s="222">
        <v>300</v>
      </c>
      <c r="G29" s="222">
        <v>150</v>
      </c>
      <c r="H29" s="222">
        <v>1142</v>
      </c>
    </row>
    <row r="30" spans="1:10">
      <c r="A30" s="28" t="s">
        <v>5597</v>
      </c>
      <c r="B30" s="222">
        <v>223</v>
      </c>
      <c r="C30" s="222">
        <v>80</v>
      </c>
      <c r="D30" s="222">
        <v>300</v>
      </c>
      <c r="E30" s="222">
        <v>33</v>
      </c>
      <c r="F30" s="222">
        <v>300</v>
      </c>
      <c r="G30" s="222">
        <v>33</v>
      </c>
      <c r="H30" s="222">
        <v>441</v>
      </c>
    </row>
    <row r="31" spans="1:10">
      <c r="A31" s="28" t="s">
        <v>6631</v>
      </c>
      <c r="B31" s="222">
        <v>109</v>
      </c>
      <c r="C31" s="222">
        <v>47</v>
      </c>
      <c r="D31" s="222">
        <v>104.7</v>
      </c>
      <c r="E31" s="222">
        <v>115</v>
      </c>
      <c r="F31" s="222"/>
      <c r="G31" s="222"/>
      <c r="H31" s="222">
        <v>839</v>
      </c>
      <c r="J31" t="s">
        <v>25</v>
      </c>
    </row>
    <row r="32" spans="1:10">
      <c r="A32" s="28" t="s">
        <v>6636</v>
      </c>
      <c r="B32" s="222">
        <v>39.299999999999997</v>
      </c>
      <c r="C32" s="222">
        <v>35.700000000000003</v>
      </c>
      <c r="D32" s="222">
        <v>47</v>
      </c>
      <c r="E32" s="222"/>
      <c r="F32" s="222"/>
      <c r="G32" s="222"/>
      <c r="H32" s="222">
        <v>311</v>
      </c>
      <c r="J32" t="s">
        <v>25</v>
      </c>
    </row>
    <row r="33" spans="1:10">
      <c r="A33" s="28" t="s">
        <v>6011</v>
      </c>
      <c r="B33" s="222">
        <v>2959</v>
      </c>
      <c r="C33" s="222">
        <v>2400</v>
      </c>
      <c r="D33" s="222">
        <v>3500</v>
      </c>
      <c r="E33" s="222"/>
      <c r="F33" s="222"/>
      <c r="G33" s="222"/>
      <c r="H33" s="222">
        <v>25000</v>
      </c>
      <c r="J33" t="s">
        <v>25</v>
      </c>
    </row>
    <row r="34" spans="1:10">
      <c r="A34" s="28" t="s">
        <v>6698</v>
      </c>
      <c r="B34" s="222">
        <v>125</v>
      </c>
      <c r="C34" s="222">
        <v>100</v>
      </c>
      <c r="D34" s="222">
        <v>217.5</v>
      </c>
      <c r="E34" s="222">
        <v>170</v>
      </c>
      <c r="F34" s="222"/>
      <c r="G34" s="222"/>
      <c r="H34" s="222">
        <v>2086</v>
      </c>
    </row>
    <row r="35" spans="1:10">
      <c r="A35" s="28" t="s">
        <v>5637</v>
      </c>
      <c r="B35" s="222">
        <v>391</v>
      </c>
      <c r="C35" s="222">
        <v>353</v>
      </c>
      <c r="D35" s="222">
        <v>570</v>
      </c>
      <c r="E35" s="222">
        <v>510</v>
      </c>
      <c r="F35" s="222"/>
      <c r="G35" s="222"/>
      <c r="H35" s="222">
        <v>3500</v>
      </c>
    </row>
    <row r="36" spans="1:10">
      <c r="A36" s="28" t="s">
        <v>6633</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6641</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5739</v>
      </c>
      <c r="B40" s="222">
        <v>578</v>
      </c>
      <c r="C40" s="222">
        <v>300</v>
      </c>
      <c r="D40" s="222">
        <v>800</v>
      </c>
      <c r="E40" s="222">
        <v>400</v>
      </c>
      <c r="F40" s="222">
        <v>800</v>
      </c>
      <c r="G40" s="222">
        <v>400</v>
      </c>
      <c r="H40" s="222"/>
    </row>
    <row r="41" spans="1:10">
      <c r="A41" s="28" t="s">
        <v>5596</v>
      </c>
      <c r="B41" s="222">
        <f>146.1/1.7</f>
        <v>85.941176470588232</v>
      </c>
      <c r="C41" s="222">
        <f>34.8/1.7</f>
        <v>20.470588235294116</v>
      </c>
      <c r="D41" s="222">
        <v>113</v>
      </c>
      <c r="E41" s="222">
        <v>50</v>
      </c>
      <c r="F41" s="222">
        <v>113</v>
      </c>
      <c r="G41" s="222">
        <v>50</v>
      </c>
      <c r="H41" s="222">
        <v>765</v>
      </c>
    </row>
    <row r="42" spans="1:10">
      <c r="A42" s="28" t="s">
        <v>6488</v>
      </c>
      <c r="B42" s="222">
        <v>108.8</v>
      </c>
      <c r="C42" s="222">
        <v>10.8</v>
      </c>
      <c r="D42" s="222">
        <v>132.9</v>
      </c>
      <c r="E42" s="222">
        <v>150</v>
      </c>
      <c r="F42" s="222">
        <v>150</v>
      </c>
      <c r="G42" s="222"/>
      <c r="H42" s="222">
        <v>939</v>
      </c>
    </row>
    <row r="43" spans="1:10">
      <c r="A43" s="28" t="s">
        <v>5149</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6055</v>
      </c>
      <c r="B45" s="222">
        <v>66</v>
      </c>
      <c r="C45" s="222">
        <v>6.6</v>
      </c>
      <c r="D45" s="222">
        <v>82</v>
      </c>
      <c r="E45" s="222">
        <v>10</v>
      </c>
      <c r="F45" s="222">
        <v>100</v>
      </c>
      <c r="G45" s="222">
        <v>15</v>
      </c>
      <c r="H45" s="222">
        <v>400</v>
      </c>
    </row>
    <row r="46" spans="1:10">
      <c r="A46" s="28" t="s">
        <v>6054</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6016</v>
      </c>
      <c r="B48" s="222">
        <v>110</v>
      </c>
      <c r="C48" s="222"/>
      <c r="D48" s="222"/>
      <c r="E48" s="222"/>
      <c r="F48" s="222"/>
      <c r="G48" s="222"/>
      <c r="H48" s="222"/>
    </row>
    <row r="49" spans="1:8">
      <c r="A49" s="28" t="s">
        <v>6019</v>
      </c>
      <c r="B49" s="222">
        <v>30</v>
      </c>
      <c r="C49" s="222"/>
      <c r="D49" s="222"/>
      <c r="E49" s="222"/>
      <c r="F49" s="222"/>
      <c r="G49" s="222"/>
      <c r="H49" s="222"/>
    </row>
    <row r="50" spans="1:8">
      <c r="A50" s="28" t="s">
        <v>6020</v>
      </c>
      <c r="B50" s="222">
        <v>100</v>
      </c>
      <c r="C50" s="222"/>
      <c r="D50" s="222"/>
      <c r="E50" s="222"/>
      <c r="F50" s="222"/>
      <c r="G50" s="222"/>
      <c r="H50" s="222"/>
    </row>
    <row r="51" spans="1:8">
      <c r="A51" s="28" t="s">
        <v>6021</v>
      </c>
      <c r="B51" s="222">
        <v>180</v>
      </c>
      <c r="C51" s="222"/>
      <c r="D51" s="222"/>
      <c r="E51" s="222"/>
      <c r="F51" s="222"/>
      <c r="G51" s="222"/>
      <c r="H51" s="222"/>
    </row>
    <row r="52" spans="1:8">
      <c r="A52" s="28" t="s">
        <v>6022</v>
      </c>
      <c r="B52" s="222">
        <v>100</v>
      </c>
      <c r="C52" s="222"/>
      <c r="D52" s="222"/>
      <c r="E52" s="222"/>
      <c r="F52" s="222"/>
      <c r="G52" s="222"/>
      <c r="H52" s="222"/>
    </row>
    <row r="53" spans="1:8">
      <c r="A53" s="28" t="s">
        <v>6023</v>
      </c>
      <c r="B53" s="222">
        <v>347</v>
      </c>
      <c r="C53" s="222"/>
      <c r="D53" s="222"/>
      <c r="E53" s="222"/>
      <c r="F53" s="222"/>
      <c r="G53" s="222"/>
      <c r="H53" s="222"/>
    </row>
    <row r="54" spans="1:8">
      <c r="A54" s="28" t="s">
        <v>6056</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6025</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6026</v>
      </c>
      <c r="B58" s="222">
        <v>80000000000</v>
      </c>
      <c r="C58" s="222">
        <v>70000000000</v>
      </c>
      <c r="D58" s="222">
        <v>100000000000</v>
      </c>
      <c r="E58" s="222"/>
      <c r="F58" s="222"/>
      <c r="G58" s="222"/>
      <c r="H58" s="222"/>
    </row>
    <row r="59" spans="1:8">
      <c r="A59" s="28" t="s">
        <v>6490</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5140</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8" t="s">
        <v>6771</v>
      </c>
      <c r="D1" s="248" t="s">
        <v>6772</v>
      </c>
      <c r="E1" s="248" t="s">
        <v>6720</v>
      </c>
      <c r="F1" s="248" t="s">
        <v>6843</v>
      </c>
      <c r="G1" s="248" t="s">
        <v>6479</v>
      </c>
      <c r="H1" s="123" t="s">
        <v>6478</v>
      </c>
      <c r="I1" s="248" t="s">
        <v>6720</v>
      </c>
      <c r="J1" s="123" t="s">
        <v>6844</v>
      </c>
      <c r="K1" s="248" t="s">
        <v>6480</v>
      </c>
      <c r="L1" s="123" t="s">
        <v>6481</v>
      </c>
      <c r="M1" s="123" t="s">
        <v>6028</v>
      </c>
      <c r="N1" s="123" t="s">
        <v>6845</v>
      </c>
      <c r="O1" s="123" t="s">
        <v>4163</v>
      </c>
      <c r="P1" s="123" t="s">
        <v>4791</v>
      </c>
      <c r="Q1" s="123" t="s">
        <v>6477</v>
      </c>
      <c r="R1" s="123" t="s">
        <v>4791</v>
      </c>
      <c r="S1" s="238" t="s">
        <v>5140</v>
      </c>
    </row>
    <row r="2" spans="1:19" ht="15.75">
      <c r="A2" s="239" t="s">
        <v>6053</v>
      </c>
      <c r="B2" s="240">
        <v>6830746693</v>
      </c>
      <c r="C2" s="240">
        <f>'سهام بنیادی'!F26</f>
        <v>120</v>
      </c>
      <c r="D2" s="240">
        <f>B2*C2/$S$2</f>
        <v>27.322986772</v>
      </c>
      <c r="E2" s="240">
        <f>'سهام بنیادی'!G26</f>
        <v>90</v>
      </c>
      <c r="F2" s="240">
        <f>B2*E2/$S$2</f>
        <v>20.492240078999998</v>
      </c>
      <c r="G2" s="240">
        <f>'سهام بنیادی'!D26</f>
        <v>175</v>
      </c>
      <c r="H2" s="240">
        <f t="shared" ref="H2:H14" si="0">B2*G2/$S$2</f>
        <v>39.846022375833336</v>
      </c>
      <c r="I2" s="309">
        <f>'سهام بنیادی'!E26</f>
        <v>127</v>
      </c>
      <c r="J2" s="240">
        <f>B2*I2/$S$2/2</f>
        <v>14.458413833516667</v>
      </c>
      <c r="K2" s="247">
        <f>'سهام بنیادی'!B26</f>
        <v>95</v>
      </c>
      <c r="L2" s="239">
        <f>0.75*B2*K2/$S$2</f>
        <v>16.223023395875</v>
      </c>
      <c r="M2" s="239">
        <f>'سهام بنیادی'!C26</f>
        <v>65</v>
      </c>
      <c r="N2" s="239">
        <f>0.75*B2*M2/$S$2/2</f>
        <v>5.5499816880625001</v>
      </c>
      <c r="O2" s="239">
        <f>'سهام بنیادی'!H26</f>
        <v>1229</v>
      </c>
      <c r="P2" s="239">
        <f t="shared" ref="P2:P14" si="1">B2*O2/$S$2</f>
        <v>279.83292285656665</v>
      </c>
      <c r="Q2" s="239">
        <f>O2</f>
        <v>1229</v>
      </c>
      <c r="R2" s="239">
        <f t="shared" ref="R2:R15" si="2">B2*Q2/$S$2</f>
        <v>279.83292285656665</v>
      </c>
      <c r="S2" s="240">
        <v>30000000000</v>
      </c>
    </row>
    <row r="3" spans="1:19" ht="23.25">
      <c r="A3" s="241" t="s">
        <v>4134</v>
      </c>
      <c r="B3" s="242">
        <v>3356161798</v>
      </c>
      <c r="C3" s="242">
        <f>'سهام بنیادی'!F37</f>
        <v>400</v>
      </c>
      <c r="D3" s="240">
        <f t="shared" ref="D3:D14" si="3">B3*C3/$S$2</f>
        <v>44.74882397333333</v>
      </c>
      <c r="E3" s="242">
        <f>'سهام بنیادی'!G37</f>
        <v>330</v>
      </c>
      <c r="F3" s="240">
        <f t="shared" ref="F3:F14" si="4">B3*E3/$S$2</f>
        <v>36.917779778000003</v>
      </c>
      <c r="G3" s="242">
        <f>'سهام بنیادی'!D37</f>
        <v>281</v>
      </c>
      <c r="H3" s="242">
        <f t="shared" si="0"/>
        <v>31.436048841266668</v>
      </c>
      <c r="I3" s="242">
        <v>280</v>
      </c>
      <c r="J3" s="240">
        <f t="shared" ref="J3:J14" si="5">B3*I3/$S$2</f>
        <v>31.324176781333332</v>
      </c>
      <c r="K3" s="245">
        <f>'سهام بنیادی'!B37</f>
        <v>224</v>
      </c>
      <c r="L3" s="241">
        <f t="shared" ref="L3:L14" si="6">B3*K3/$S$2</f>
        <v>25.059341425066666</v>
      </c>
      <c r="M3" s="241">
        <f>'سهام بنیادی'!C37</f>
        <v>193</v>
      </c>
      <c r="N3" s="241">
        <f t="shared" ref="N3:N14" si="7">B3*M3/$S$2</f>
        <v>21.591307567133335</v>
      </c>
      <c r="O3" s="241">
        <f>'سهام بنیادی'!H37</f>
        <v>2999</v>
      </c>
      <c r="P3" s="241">
        <f t="shared" si="1"/>
        <v>335.50430774006668</v>
      </c>
      <c r="Q3" s="250">
        <v>3300</v>
      </c>
      <c r="R3" s="246">
        <f t="shared" si="2"/>
        <v>369.17779777999999</v>
      </c>
    </row>
    <row r="4" spans="1:19" ht="15.75">
      <c r="A4" s="239" t="s">
        <v>4405</v>
      </c>
      <c r="B4" s="240">
        <v>4007657980</v>
      </c>
      <c r="C4" s="240">
        <f>'سهام بنیادی'!F28</f>
        <v>110</v>
      </c>
      <c r="D4" s="240">
        <f t="shared" si="3"/>
        <v>14.694745926666666</v>
      </c>
      <c r="E4" s="240">
        <f>'سهام بنیادی'!G28</f>
        <v>65</v>
      </c>
      <c r="F4" s="240">
        <f t="shared" si="4"/>
        <v>8.6832589566666663</v>
      </c>
      <c r="G4" s="240">
        <f>'سهام بنیادی'!D28</f>
        <v>126</v>
      </c>
      <c r="H4" s="240">
        <f t="shared" si="0"/>
        <v>16.832163516000001</v>
      </c>
      <c r="I4" s="240">
        <f>'سهام بنیادی'!E28</f>
        <v>70</v>
      </c>
      <c r="J4" s="240">
        <f t="shared" si="5"/>
        <v>9.3512019533333337</v>
      </c>
      <c r="K4" s="247">
        <f>'سهام بنیادی'!B28</f>
        <v>65</v>
      </c>
      <c r="L4" s="239">
        <f t="shared" si="6"/>
        <v>8.6832589566666663</v>
      </c>
      <c r="M4" s="239">
        <f>'سهام بنیادی'!C28</f>
        <v>14</v>
      </c>
      <c r="N4" s="239">
        <f t="shared" si="7"/>
        <v>1.8702403906666667</v>
      </c>
      <c r="O4" s="239">
        <f>'سهام بنیادی'!H28</f>
        <v>620</v>
      </c>
      <c r="P4" s="239">
        <f t="shared" si="1"/>
        <v>82.824931586666665</v>
      </c>
      <c r="Q4" s="239">
        <f t="shared" ref="Q4:Q14" si="8">O4</f>
        <v>620</v>
      </c>
      <c r="R4" s="239">
        <f t="shared" si="2"/>
        <v>82.824931586666665</v>
      </c>
    </row>
    <row r="5" spans="1:19" ht="15.75">
      <c r="A5" s="241" t="s">
        <v>5590</v>
      </c>
      <c r="B5" s="242">
        <v>980399923</v>
      </c>
      <c r="C5" s="242">
        <f>'سهام بنیادی'!F27</f>
        <v>160</v>
      </c>
      <c r="D5" s="240">
        <f t="shared" si="3"/>
        <v>5.2287995893333337</v>
      </c>
      <c r="E5" s="242">
        <f>'سهام بنیادی'!G27</f>
        <v>120</v>
      </c>
      <c r="F5" s="240">
        <f t="shared" si="4"/>
        <v>3.921599692</v>
      </c>
      <c r="G5" s="242">
        <f>'سهام بنیادی'!D27</f>
        <v>230</v>
      </c>
      <c r="H5" s="242">
        <f t="shared" si="0"/>
        <v>7.5163994096666666</v>
      </c>
      <c r="I5" s="310">
        <f>'سهام بنیادی'!E27</f>
        <v>159</v>
      </c>
      <c r="J5" s="240">
        <f t="shared" si="5"/>
        <v>5.1961195918999996</v>
      </c>
      <c r="K5" s="245">
        <f>'سهام بنیادی'!B27</f>
        <v>144</v>
      </c>
      <c r="L5" s="241">
        <f t="shared" si="6"/>
        <v>4.7059196304000004</v>
      </c>
      <c r="M5" s="241">
        <f>'سهام بنیادی'!C27</f>
        <v>100</v>
      </c>
      <c r="N5" s="241">
        <f t="shared" si="7"/>
        <v>3.2679997433333332</v>
      </c>
      <c r="O5" s="241">
        <f>'سهام بنیادی'!H27</f>
        <v>1390</v>
      </c>
      <c r="P5" s="241">
        <f t="shared" si="1"/>
        <v>45.425196432333337</v>
      </c>
      <c r="Q5" s="239">
        <f t="shared" si="8"/>
        <v>1390</v>
      </c>
      <c r="R5" s="241">
        <f t="shared" si="2"/>
        <v>45.425196432333337</v>
      </c>
    </row>
    <row r="6" spans="1:19" ht="15.75">
      <c r="A6" s="239" t="s">
        <v>6055</v>
      </c>
      <c r="B6" s="240">
        <v>4161561525</v>
      </c>
      <c r="C6" s="240">
        <f>'سهام بنیادی'!F45</f>
        <v>100</v>
      </c>
      <c r="D6" s="240">
        <f t="shared" si="3"/>
        <v>13.87187175</v>
      </c>
      <c r="E6" s="240">
        <f>'سهام بنیادی'!G45</f>
        <v>15</v>
      </c>
      <c r="F6" s="240">
        <f t="shared" si="4"/>
        <v>2.0807807624999999</v>
      </c>
      <c r="G6" s="240">
        <f>'سهام بنیادی'!D45</f>
        <v>82</v>
      </c>
      <c r="H6" s="240">
        <f t="shared" si="0"/>
        <v>11.374934834999999</v>
      </c>
      <c r="I6" s="309">
        <f>'سهام بنیادی'!E45</f>
        <v>10</v>
      </c>
      <c r="J6" s="240">
        <f t="shared" si="5"/>
        <v>1.387187175</v>
      </c>
      <c r="K6" s="247">
        <v>66</v>
      </c>
      <c r="L6" s="239">
        <f t="shared" si="6"/>
        <v>9.1554353549999998</v>
      </c>
      <c r="M6" s="239">
        <v>6.6</v>
      </c>
      <c r="N6" s="239">
        <f t="shared" si="7"/>
        <v>0.91554353550000001</v>
      </c>
      <c r="O6" s="239">
        <f>'سهام بنیادی'!H45</f>
        <v>400</v>
      </c>
      <c r="P6" s="239">
        <f t="shared" si="1"/>
        <v>55.487487000000002</v>
      </c>
      <c r="Q6" s="239">
        <f t="shared" si="8"/>
        <v>400</v>
      </c>
      <c r="R6" s="239">
        <f t="shared" si="2"/>
        <v>55.487487000000002</v>
      </c>
    </row>
    <row r="7" spans="1:19" ht="15.75">
      <c r="A7" s="241" t="s">
        <v>6054</v>
      </c>
      <c r="B7" s="242">
        <v>5748540000</v>
      </c>
      <c r="C7" s="242">
        <f>'سهام بنیادی'!F46</f>
        <v>50</v>
      </c>
      <c r="D7" s="240">
        <f t="shared" si="3"/>
        <v>9.5808999999999997</v>
      </c>
      <c r="E7" s="242">
        <f>'سهام بنیادی'!G46</f>
        <v>17</v>
      </c>
      <c r="F7" s="240">
        <f t="shared" si="4"/>
        <v>3.2575059999999998</v>
      </c>
      <c r="G7" s="242">
        <f>'سهام بنیادی'!D46</f>
        <v>38.299999999999997</v>
      </c>
      <c r="H7" s="242">
        <f t="shared" si="0"/>
        <v>7.338969399999999</v>
      </c>
      <c r="I7" s="310">
        <f>'سهام بنیادی'!E46</f>
        <v>13</v>
      </c>
      <c r="J7" s="240">
        <f t="shared" si="5"/>
        <v>2.491034</v>
      </c>
      <c r="K7" s="245">
        <f>'سهام بنیادی'!B46</f>
        <v>58</v>
      </c>
      <c r="L7" s="241">
        <f t="shared" si="6"/>
        <v>11.113844</v>
      </c>
      <c r="M7" s="241">
        <f>'سهام بنیادی'!C46</f>
        <v>7.5</v>
      </c>
      <c r="N7" s="241">
        <f t="shared" si="7"/>
        <v>1.4371350000000001</v>
      </c>
      <c r="O7" s="241">
        <f>'سهام بنیادی'!H46</f>
        <v>182</v>
      </c>
      <c r="P7" s="241">
        <f t="shared" si="1"/>
        <v>34.874476000000001</v>
      </c>
      <c r="Q7" s="239">
        <f t="shared" si="8"/>
        <v>182</v>
      </c>
      <c r="R7" s="241">
        <f t="shared" si="2"/>
        <v>34.874476000000001</v>
      </c>
    </row>
    <row r="8" spans="1:19" ht="15.75">
      <c r="A8" s="239" t="s">
        <v>4414</v>
      </c>
      <c r="B8" s="240">
        <v>978026662</v>
      </c>
      <c r="C8" s="240">
        <f>'سهام بنیادی'!F39</f>
        <v>140</v>
      </c>
      <c r="D8" s="240">
        <f t="shared" si="3"/>
        <v>4.5641244226666666</v>
      </c>
      <c r="E8" s="240">
        <f>'سهام بنیادی'!G39</f>
        <v>100</v>
      </c>
      <c r="F8" s="240">
        <f t="shared" si="4"/>
        <v>3.2600888733333333</v>
      </c>
      <c r="G8" s="240">
        <f>'سهام بنیادی'!D39</f>
        <v>140</v>
      </c>
      <c r="H8" s="240">
        <f t="shared" si="0"/>
        <v>4.5641244226666666</v>
      </c>
      <c r="I8" s="240">
        <f>'سهام بنیادی'!E39</f>
        <v>100</v>
      </c>
      <c r="J8" s="240">
        <f t="shared" si="5"/>
        <v>3.2600888733333333</v>
      </c>
      <c r="K8" s="247">
        <v>50</v>
      </c>
      <c r="L8" s="239">
        <f t="shared" si="6"/>
        <v>1.6300444366666667</v>
      </c>
      <c r="M8" s="239">
        <v>50</v>
      </c>
      <c r="N8" s="239">
        <f t="shared" si="7"/>
        <v>1.6300444366666667</v>
      </c>
      <c r="O8" s="239">
        <v>648</v>
      </c>
      <c r="P8" s="239">
        <f t="shared" si="1"/>
        <v>21.125375899200002</v>
      </c>
      <c r="Q8" s="239">
        <f t="shared" si="8"/>
        <v>648</v>
      </c>
      <c r="R8" s="239">
        <f t="shared" si="2"/>
        <v>21.125375899200002</v>
      </c>
    </row>
    <row r="9" spans="1:19" ht="15.75">
      <c r="A9" s="239" t="s">
        <v>6056</v>
      </c>
      <c r="B9" s="240">
        <v>677381795</v>
      </c>
      <c r="C9" s="240">
        <f>'سهام بنیادی'!F54</f>
        <v>354</v>
      </c>
      <c r="D9" s="240">
        <f t="shared" si="3"/>
        <v>7.9931051809999998</v>
      </c>
      <c r="E9" s="240">
        <f>'سهام بنیادی'!G54</f>
        <v>240</v>
      </c>
      <c r="F9" s="240">
        <f t="shared" si="4"/>
        <v>5.4190543599999996</v>
      </c>
      <c r="G9" s="240">
        <f>'سهام بنیادی'!D54</f>
        <v>354</v>
      </c>
      <c r="H9" s="240">
        <f t="shared" si="0"/>
        <v>7.9931051809999998</v>
      </c>
      <c r="I9" s="309">
        <f>'سهام بنیادی'!E54</f>
        <v>240</v>
      </c>
      <c r="J9" s="240">
        <f t="shared" si="5"/>
        <v>5.4190543599999996</v>
      </c>
      <c r="K9" s="247">
        <v>219.8</v>
      </c>
      <c r="L9" s="239">
        <f t="shared" si="6"/>
        <v>4.9629506180333331</v>
      </c>
      <c r="M9" s="239">
        <v>237</v>
      </c>
      <c r="N9" s="239">
        <f t="shared" si="7"/>
        <v>5.3513161804999996</v>
      </c>
      <c r="O9" s="239">
        <v>1641</v>
      </c>
      <c r="P9" s="239">
        <f t="shared" si="1"/>
        <v>37.052784186499998</v>
      </c>
      <c r="Q9" s="239">
        <f t="shared" si="8"/>
        <v>1641</v>
      </c>
      <c r="R9" s="239">
        <f t="shared" si="2"/>
        <v>37.052784186499998</v>
      </c>
    </row>
    <row r="10" spans="1:19" ht="15.75">
      <c r="A10" s="241" t="s">
        <v>5597</v>
      </c>
      <c r="B10" s="242">
        <v>35697979</v>
      </c>
      <c r="C10" s="242">
        <f>'سهام بنیادی'!F30</f>
        <v>300</v>
      </c>
      <c r="D10" s="240">
        <f t="shared" si="3"/>
        <v>0.35697979000000002</v>
      </c>
      <c r="E10" s="242">
        <f>'سهام بنیادی'!G30</f>
        <v>33</v>
      </c>
      <c r="F10" s="240">
        <f t="shared" si="4"/>
        <v>3.9267776900000002E-2</v>
      </c>
      <c r="G10" s="242">
        <v>300</v>
      </c>
      <c r="H10" s="242">
        <f t="shared" si="0"/>
        <v>0.35697979000000002</v>
      </c>
      <c r="I10" s="242">
        <f>'سهام بنیادی'!E30</f>
        <v>33</v>
      </c>
      <c r="J10" s="240">
        <f t="shared" si="5"/>
        <v>3.9267776900000002E-2</v>
      </c>
      <c r="K10" s="245">
        <v>223</v>
      </c>
      <c r="L10" s="241">
        <f t="shared" si="6"/>
        <v>0.26535497723333334</v>
      </c>
      <c r="M10" s="241">
        <v>80</v>
      </c>
      <c r="N10" s="241">
        <f t="shared" si="7"/>
        <v>9.5194610666666665E-2</v>
      </c>
      <c r="O10" s="241">
        <v>1607</v>
      </c>
      <c r="P10" s="241">
        <f t="shared" si="1"/>
        <v>1.9122217417666667</v>
      </c>
      <c r="Q10" s="239">
        <f t="shared" si="8"/>
        <v>1607</v>
      </c>
      <c r="R10" s="241">
        <f t="shared" si="2"/>
        <v>1.9122217417666667</v>
      </c>
    </row>
    <row r="11" spans="1:19" ht="15.75">
      <c r="A11" s="239" t="s">
        <v>5739</v>
      </c>
      <c r="B11" s="240">
        <v>158220192</v>
      </c>
      <c r="C11" s="240">
        <f>'سهام بنیادی'!F40</f>
        <v>800</v>
      </c>
      <c r="D11" s="240">
        <f t="shared" si="3"/>
        <v>4.2192051199999998</v>
      </c>
      <c r="E11" s="240">
        <f>'سهام بنیادی'!G40</f>
        <v>400</v>
      </c>
      <c r="F11" s="240">
        <f t="shared" si="4"/>
        <v>2.1096025599999999</v>
      </c>
      <c r="G11" s="240">
        <f>'سهام بنیادی'!D40</f>
        <v>800</v>
      </c>
      <c r="H11" s="240">
        <f t="shared" si="0"/>
        <v>4.2192051199999998</v>
      </c>
      <c r="I11" s="240">
        <f>'سهام بنیادی'!E40</f>
        <v>400</v>
      </c>
      <c r="J11" s="240">
        <f t="shared" si="5"/>
        <v>2.1096025599999999</v>
      </c>
      <c r="K11" s="247">
        <v>578</v>
      </c>
      <c r="L11" s="239">
        <f t="shared" si="6"/>
        <v>3.0483756992000002</v>
      </c>
      <c r="M11" s="239">
        <v>300</v>
      </c>
      <c r="N11" s="239">
        <f t="shared" si="7"/>
        <v>1.5822019199999999</v>
      </c>
      <c r="O11" s="239">
        <v>1453</v>
      </c>
      <c r="P11" s="239">
        <f t="shared" si="1"/>
        <v>7.6631312991999998</v>
      </c>
      <c r="Q11" s="239">
        <f t="shared" si="8"/>
        <v>1453</v>
      </c>
      <c r="R11" s="239">
        <f t="shared" si="2"/>
        <v>7.6631312991999998</v>
      </c>
    </row>
    <row r="12" spans="1:19" ht="15.75">
      <c r="A12" s="241" t="s">
        <v>4283</v>
      </c>
      <c r="B12" s="242">
        <v>101805550</v>
      </c>
      <c r="C12" s="242">
        <f>'سهام بنیادی'!F8</f>
        <v>600</v>
      </c>
      <c r="D12" s="240">
        <f t="shared" si="3"/>
        <v>2.036111</v>
      </c>
      <c r="E12" s="242">
        <f>'سهام بنیادی'!G8</f>
        <v>500</v>
      </c>
      <c r="F12" s="240">
        <f t="shared" si="4"/>
        <v>1.6967591666666666</v>
      </c>
      <c r="G12" s="242">
        <f>'سهام بنیادی'!D8</f>
        <v>684</v>
      </c>
      <c r="H12" s="242">
        <f t="shared" si="0"/>
        <v>2.3211665400000001</v>
      </c>
      <c r="I12" s="310">
        <f>'سهام بنیادی'!E8</f>
        <v>690</v>
      </c>
      <c r="J12" s="240">
        <f t="shared" si="5"/>
        <v>2.3415276500000002</v>
      </c>
      <c r="K12" s="245">
        <v>424</v>
      </c>
      <c r="L12" s="241">
        <f t="shared" si="6"/>
        <v>1.4388517733333333</v>
      </c>
      <c r="M12" s="241">
        <v>370</v>
      </c>
      <c r="N12" s="241">
        <f t="shared" si="7"/>
        <v>1.2556017833333333</v>
      </c>
      <c r="O12" s="241">
        <f>'سهام بنیادی'!H8</f>
        <v>3100</v>
      </c>
      <c r="P12" s="241">
        <f t="shared" si="1"/>
        <v>10.519906833333334</v>
      </c>
      <c r="Q12" s="239">
        <f t="shared" si="8"/>
        <v>3100</v>
      </c>
      <c r="R12" s="241">
        <f t="shared" si="2"/>
        <v>10.519906833333334</v>
      </c>
    </row>
    <row r="13" spans="1:19" ht="15.75">
      <c r="A13" s="239" t="s">
        <v>6476</v>
      </c>
      <c r="B13" s="240">
        <v>1</v>
      </c>
      <c r="C13" s="240">
        <v>900000000000</v>
      </c>
      <c r="D13" s="240">
        <f t="shared" si="3"/>
        <v>30</v>
      </c>
      <c r="E13" s="240">
        <v>600000000000</v>
      </c>
      <c r="F13" s="240">
        <f t="shared" si="4"/>
        <v>20</v>
      </c>
      <c r="G13" s="240">
        <v>900000000000</v>
      </c>
      <c r="H13" s="240">
        <f t="shared" si="0"/>
        <v>30</v>
      </c>
      <c r="I13" s="240">
        <v>600000000000</v>
      </c>
      <c r="J13" s="240">
        <f t="shared" si="5"/>
        <v>20</v>
      </c>
      <c r="K13" s="240">
        <v>600000000000</v>
      </c>
      <c r="L13" s="239">
        <f t="shared" si="6"/>
        <v>20</v>
      </c>
      <c r="M13" s="240">
        <v>400000000000</v>
      </c>
      <c r="N13" s="239">
        <f t="shared" si="7"/>
        <v>13.333333333333334</v>
      </c>
      <c r="O13" s="239">
        <v>6000000000000</v>
      </c>
      <c r="P13" s="239">
        <f t="shared" si="1"/>
        <v>200</v>
      </c>
      <c r="Q13" s="239">
        <f t="shared" si="8"/>
        <v>6000000000000</v>
      </c>
      <c r="R13" s="239">
        <f t="shared" si="2"/>
        <v>200</v>
      </c>
    </row>
    <row r="14" spans="1:19" ht="15.75">
      <c r="A14" s="241" t="s">
        <v>6057</v>
      </c>
      <c r="B14" s="242">
        <v>1</v>
      </c>
      <c r="C14" s="242">
        <v>750000000000</v>
      </c>
      <c r="D14" s="240">
        <f t="shared" si="3"/>
        <v>25</v>
      </c>
      <c r="E14" s="242">
        <v>450000000000</v>
      </c>
      <c r="F14" s="240">
        <f t="shared" si="4"/>
        <v>15</v>
      </c>
      <c r="G14" s="242">
        <v>750000000000</v>
      </c>
      <c r="H14" s="242">
        <f t="shared" si="0"/>
        <v>25</v>
      </c>
      <c r="I14" s="242">
        <v>450000000000</v>
      </c>
      <c r="J14" s="240">
        <f t="shared" si="5"/>
        <v>15</v>
      </c>
      <c r="K14" s="242">
        <v>500000000000</v>
      </c>
      <c r="L14" s="241">
        <f t="shared" si="6"/>
        <v>16.666666666666668</v>
      </c>
      <c r="M14" s="242">
        <v>300000000000</v>
      </c>
      <c r="N14" s="241">
        <f t="shared" si="7"/>
        <v>10</v>
      </c>
      <c r="O14" s="241">
        <v>4000000000000</v>
      </c>
      <c r="P14" s="241">
        <f t="shared" si="1"/>
        <v>133.33333333333334</v>
      </c>
      <c r="Q14" s="239">
        <f t="shared" si="8"/>
        <v>4000000000000</v>
      </c>
      <c r="R14" s="241">
        <f t="shared" si="2"/>
        <v>133.33333333333334</v>
      </c>
    </row>
    <row r="15" spans="1:19" ht="15.75">
      <c r="A15" s="243"/>
      <c r="B15" s="237"/>
      <c r="C15" s="237"/>
      <c r="D15" s="237"/>
      <c r="E15" s="237"/>
      <c r="F15" s="237"/>
      <c r="G15" s="237"/>
      <c r="H15" s="237"/>
      <c r="I15" s="237"/>
      <c r="J15" s="237"/>
      <c r="K15" s="243"/>
      <c r="L15" s="243"/>
      <c r="M15" s="243"/>
      <c r="N15" s="243"/>
      <c r="O15" s="243"/>
      <c r="P15" s="243"/>
      <c r="Q15" s="243"/>
      <c r="R15" s="239">
        <f t="shared" si="2"/>
        <v>0</v>
      </c>
    </row>
    <row r="16" spans="1:19" ht="21">
      <c r="A16" s="243"/>
      <c r="B16" s="243"/>
      <c r="C16" s="243"/>
      <c r="D16" s="237">
        <f>SUM(D2:D14)</f>
        <v>189.61765352499998</v>
      </c>
      <c r="E16" s="243"/>
      <c r="F16" s="237">
        <f>SUM(F2:F14)</f>
        <v>122.87793800506668</v>
      </c>
      <c r="G16" s="243"/>
      <c r="H16" s="237">
        <f>SUM(H2:H15)</f>
        <v>188.79911943143335</v>
      </c>
      <c r="I16" s="243"/>
      <c r="J16" s="237">
        <f>SUM(J2:J14)</f>
        <v>112.37767455531669</v>
      </c>
      <c r="K16" s="243"/>
      <c r="L16" s="243">
        <f>SUM(L2:L15)</f>
        <v>122.95306693414166</v>
      </c>
      <c r="M16" s="243"/>
      <c r="N16" s="243">
        <f>SUM(N2:N15)</f>
        <v>67.879900189195837</v>
      </c>
      <c r="O16" s="244" t="s">
        <v>4340</v>
      </c>
      <c r="P16" s="244">
        <f>SUM(P2:P14)</f>
        <v>1245.5560749089666</v>
      </c>
      <c r="Q16" s="244" t="s">
        <v>4340</v>
      </c>
      <c r="R16" s="249">
        <f>SUM(R2:R14)</f>
        <v>1279.2295649488999</v>
      </c>
    </row>
    <row r="17" spans="1:18" ht="21">
      <c r="A17" s="243"/>
      <c r="B17" s="243"/>
      <c r="C17" s="243"/>
      <c r="D17" s="243" t="s">
        <v>6</v>
      </c>
      <c r="E17" s="243"/>
      <c r="F17" s="243" t="s">
        <v>6</v>
      </c>
      <c r="G17" s="243"/>
      <c r="H17" s="243" t="s">
        <v>6</v>
      </c>
      <c r="I17" s="243"/>
      <c r="J17" s="243" t="s">
        <v>6</v>
      </c>
      <c r="K17" s="243"/>
      <c r="L17" s="243" t="s">
        <v>6</v>
      </c>
      <c r="M17" s="243"/>
      <c r="N17" s="243" t="s">
        <v>6</v>
      </c>
      <c r="O17" s="244" t="s">
        <v>4888</v>
      </c>
      <c r="P17" s="244">
        <v>440</v>
      </c>
      <c r="Q17" s="244"/>
      <c r="R17" s="249"/>
    </row>
    <row r="18" spans="1:18" ht="21">
      <c r="A18" s="243"/>
      <c r="B18" s="243"/>
      <c r="C18" s="243"/>
      <c r="D18" s="243"/>
      <c r="E18" s="243"/>
      <c r="F18" s="243"/>
      <c r="G18" s="243"/>
      <c r="H18" s="243"/>
      <c r="I18" s="243"/>
      <c r="J18" s="243"/>
      <c r="K18" s="243"/>
      <c r="L18" s="243"/>
      <c r="M18" s="243"/>
      <c r="N18" s="243"/>
      <c r="O18" s="244" t="s">
        <v>4889</v>
      </c>
      <c r="P18" s="244">
        <f>P17/P16</f>
        <v>0.3532558741140242</v>
      </c>
      <c r="Q18" s="244" t="s">
        <v>4889</v>
      </c>
      <c r="R18" s="249">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J200"/>
  <sheetViews>
    <sheetView topLeftCell="A22" zoomScaleNormal="100" workbookViewId="0">
      <selection activeCell="H37" sqref="H37"/>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1" t="s">
        <v>4710</v>
      </c>
      <c r="B1" s="241" t="s">
        <v>4711</v>
      </c>
      <c r="C1" s="283" t="s">
        <v>6650</v>
      </c>
      <c r="D1" s="241" t="s">
        <v>6721</v>
      </c>
      <c r="E1" s="283" t="s">
        <v>6652</v>
      </c>
      <c r="F1" s="241" t="s">
        <v>6722</v>
      </c>
      <c r="G1" s="241" t="s">
        <v>6654</v>
      </c>
      <c r="H1" s="241" t="s">
        <v>6721</v>
      </c>
      <c r="I1" s="241" t="s">
        <v>6700</v>
      </c>
      <c r="J1" s="241" t="s">
        <v>6722</v>
      </c>
      <c r="K1" s="241" t="s">
        <v>6477</v>
      </c>
      <c r="L1" s="241" t="s">
        <v>4791</v>
      </c>
      <c r="M1" s="221">
        <v>72000000000</v>
      </c>
      <c r="R1" t="s">
        <v>4714</v>
      </c>
      <c r="S1" t="s">
        <v>4715</v>
      </c>
    </row>
    <row r="2" spans="1:19" ht="17.25">
      <c r="A2" s="290" t="s">
        <v>4712</v>
      </c>
      <c r="B2" s="291">
        <v>88414000000</v>
      </c>
      <c r="C2" s="292">
        <f>'سهام بنیادی'!B2</f>
        <v>25.67</v>
      </c>
      <c r="D2" s="292">
        <f>B2*C2/$M$1</f>
        <v>31.522046944444444</v>
      </c>
      <c r="E2" s="292">
        <f>'سهام بنیادی'!C2</f>
        <v>25.2</v>
      </c>
      <c r="F2" s="292">
        <f>B2*E2/$M$1</f>
        <v>30.944900000000001</v>
      </c>
      <c r="G2" s="292">
        <f>'سهام بنیادی'!D2</f>
        <v>33.700000000000003</v>
      </c>
      <c r="H2" s="292">
        <f>B2*G2/$M$1</f>
        <v>41.382663888888892</v>
      </c>
      <c r="I2" s="292">
        <f>'سهام بنیادی'!E2</f>
        <v>27</v>
      </c>
      <c r="J2" s="292">
        <f>B2*I2/$M$1</f>
        <v>33.155250000000002</v>
      </c>
      <c r="K2" s="292">
        <f>'سهام بنیادی'!H2</f>
        <v>218</v>
      </c>
      <c r="L2" s="292">
        <f>B2*K2/$M$1</f>
        <v>267.69794444444443</v>
      </c>
    </row>
    <row r="3" spans="1:19" ht="34.5">
      <c r="A3" s="293" t="s">
        <v>6025</v>
      </c>
      <c r="B3" s="291">
        <v>3217000000</v>
      </c>
      <c r="C3" s="292">
        <f>'سهام بنیادی'!B56</f>
        <v>150</v>
      </c>
      <c r="D3" s="292">
        <f>B3*C3/$M$1</f>
        <v>6.7020833333333334</v>
      </c>
      <c r="E3" s="292">
        <f>'سهام بنیادی'!C56</f>
        <v>120</v>
      </c>
      <c r="F3" s="292">
        <f>B3*E3/$M$1</f>
        <v>5.3616666666666664</v>
      </c>
      <c r="G3" s="292">
        <f>'سهام بنیادی'!D56</f>
        <v>172</v>
      </c>
      <c r="H3" s="292">
        <f>B3*G3/$M$1</f>
        <v>7.6850555555555555</v>
      </c>
      <c r="I3" s="292">
        <f>'سهام بنیادی'!E56</f>
        <v>156</v>
      </c>
      <c r="J3" s="292">
        <f t="shared" ref="J3:J9" si="0">B3*I3/$M$1</f>
        <v>6.9701666666666666</v>
      </c>
      <c r="K3" s="292">
        <f>'سهام بنیادی'!H56</f>
        <v>1554</v>
      </c>
      <c r="L3" s="292">
        <f>B3*K3/$M$1</f>
        <v>69.433583333333331</v>
      </c>
    </row>
    <row r="4" spans="1:19" ht="17.25">
      <c r="A4" s="290" t="s">
        <v>5637</v>
      </c>
      <c r="B4" s="291">
        <v>27416800780</v>
      </c>
      <c r="C4" s="294">
        <f>D26</f>
        <v>548.28187817253126</v>
      </c>
      <c r="D4" s="292">
        <f>B4*C4/$M$1</f>
        <v>208.77965312695167</v>
      </c>
      <c r="E4" s="290">
        <f>'سهام بنیادی'!C35</f>
        <v>353</v>
      </c>
      <c r="F4" s="292">
        <f>B4*E4/$M$1</f>
        <v>134.41848160194445</v>
      </c>
      <c r="G4" s="292">
        <f>H26</f>
        <v>868.78944319325433</v>
      </c>
      <c r="H4" s="292">
        <f>B4*G4/$M$1</f>
        <v>330.82537616384144</v>
      </c>
      <c r="I4" s="292">
        <f>'سهام بنیادی'!E35</f>
        <v>510</v>
      </c>
      <c r="J4" s="292">
        <f t="shared" si="0"/>
        <v>194.20233885833332</v>
      </c>
      <c r="K4" s="292">
        <f>L26</f>
        <v>4772.8993686698768</v>
      </c>
      <c r="L4" s="292">
        <f>B4*K4/$M$1</f>
        <v>1817.4670990806915</v>
      </c>
    </row>
    <row r="5" spans="1:19" ht="17.25">
      <c r="A5" s="293" t="s">
        <v>6633</v>
      </c>
      <c r="B5" s="291">
        <v>18000000000</v>
      </c>
      <c r="C5" s="292">
        <f>D50</f>
        <v>201.73422115388888</v>
      </c>
      <c r="D5" s="292">
        <f>B5*C5/$M$1</f>
        <v>50.43355528847222</v>
      </c>
      <c r="E5" s="292">
        <v>106</v>
      </c>
      <c r="F5" s="292">
        <f>B5*E5/$M$1</f>
        <v>26.5</v>
      </c>
      <c r="G5" s="292">
        <f>'سهام بنیادی'!D36</f>
        <v>277</v>
      </c>
      <c r="H5" s="292">
        <f>B5*G5/$M$1</f>
        <v>69.25</v>
      </c>
      <c r="I5" s="292">
        <f>'سهام بنیادی'!E36</f>
        <v>171</v>
      </c>
      <c r="J5" s="292">
        <f t="shared" si="0"/>
        <v>42.75</v>
      </c>
      <c r="K5" s="292">
        <f>L50</f>
        <v>3269.9396624991109</v>
      </c>
      <c r="L5" s="292">
        <f>B5*K5/$M$1</f>
        <v>817.48491562477773</v>
      </c>
    </row>
    <row r="6" spans="1:19" ht="17.25">
      <c r="A6" s="293"/>
      <c r="B6" s="291"/>
      <c r="C6" s="292"/>
      <c r="D6" s="292"/>
      <c r="E6" s="292"/>
      <c r="F6" s="292"/>
      <c r="G6" s="292"/>
      <c r="H6" s="292"/>
      <c r="I6" s="292"/>
      <c r="J6" s="292"/>
      <c r="K6" s="292"/>
      <c r="L6" s="292"/>
    </row>
    <row r="7" spans="1:19" ht="17.25">
      <c r="A7" s="290" t="s">
        <v>5614</v>
      </c>
      <c r="B7" s="290">
        <v>1</v>
      </c>
      <c r="C7" s="290"/>
      <c r="D7" s="292">
        <v>52</v>
      </c>
      <c r="E7" s="290"/>
      <c r="F7" s="292">
        <v>27</v>
      </c>
      <c r="G7" s="292"/>
      <c r="H7" s="292">
        <v>70</v>
      </c>
      <c r="I7" s="292"/>
      <c r="J7" s="292">
        <v>35</v>
      </c>
      <c r="K7" s="292" t="s">
        <v>5271</v>
      </c>
      <c r="L7" s="292">
        <v>370</v>
      </c>
    </row>
    <row r="8" spans="1:19" ht="17.25">
      <c r="A8" s="290" t="s">
        <v>6648</v>
      </c>
      <c r="B8" s="290">
        <v>1</v>
      </c>
      <c r="C8" s="290"/>
      <c r="D8" s="292">
        <v>15</v>
      </c>
      <c r="E8" s="292"/>
      <c r="F8" s="292">
        <v>0</v>
      </c>
      <c r="G8" s="292"/>
      <c r="H8" s="292">
        <v>31</v>
      </c>
      <c r="I8" s="292"/>
      <c r="J8" s="292">
        <f t="shared" si="0"/>
        <v>0</v>
      </c>
      <c r="K8" s="292" t="s">
        <v>5431</v>
      </c>
      <c r="L8" s="292">
        <v>230</v>
      </c>
      <c r="N8" t="s">
        <v>25</v>
      </c>
    </row>
    <row r="9" spans="1:19" ht="17.25">
      <c r="A9" s="290"/>
      <c r="B9" s="290"/>
      <c r="C9" s="290"/>
      <c r="D9" s="290"/>
      <c r="E9" s="290"/>
      <c r="F9" s="290"/>
      <c r="G9" s="290"/>
      <c r="H9" s="290"/>
      <c r="I9" s="290"/>
      <c r="J9" s="292">
        <f t="shared" si="0"/>
        <v>0</v>
      </c>
      <c r="K9" s="292" t="s">
        <v>5272</v>
      </c>
      <c r="L9" s="292">
        <v>140</v>
      </c>
    </row>
    <row r="10" spans="1:19" ht="17.25">
      <c r="A10" s="290"/>
      <c r="B10" s="290"/>
      <c r="C10" s="290"/>
      <c r="D10" s="292">
        <f>SUM(D2:D9)</f>
        <v>364.4373386932017</v>
      </c>
      <c r="E10" s="290"/>
      <c r="F10" s="292">
        <f>SUM(F2:F8)</f>
        <v>224.22504826861112</v>
      </c>
      <c r="G10" s="290"/>
      <c r="H10" s="292">
        <f>SUM(H2:H9)</f>
        <v>550.14309560828588</v>
      </c>
      <c r="I10" s="292">
        <f>SUM(I2:I8)</f>
        <v>864</v>
      </c>
      <c r="J10" s="292">
        <f>SUM(J2:J8)</f>
        <v>312.07775552499999</v>
      </c>
      <c r="K10" s="290" t="s">
        <v>4340</v>
      </c>
      <c r="L10" s="292">
        <f>SUM(L2:L9)</f>
        <v>3712.0835424832471</v>
      </c>
    </row>
    <row r="11" spans="1:19" ht="17.25">
      <c r="A11" s="290"/>
      <c r="B11" s="290"/>
      <c r="C11" s="290"/>
      <c r="D11" s="290" t="s">
        <v>6585</v>
      </c>
      <c r="E11" s="290"/>
      <c r="F11" s="290" t="s">
        <v>6170</v>
      </c>
      <c r="G11" s="290"/>
      <c r="H11" s="290" t="s">
        <v>6478</v>
      </c>
      <c r="I11" s="307"/>
      <c r="J11" s="307" t="s">
        <v>6723</v>
      </c>
      <c r="K11" s="290" t="s">
        <v>4888</v>
      </c>
      <c r="L11" s="292">
        <v>1465</v>
      </c>
    </row>
    <row r="12" spans="1:19" ht="17.25">
      <c r="A12" s="290"/>
      <c r="B12" s="290"/>
      <c r="C12" s="290"/>
      <c r="D12" s="290"/>
      <c r="E12" s="290"/>
      <c r="F12" s="290"/>
      <c r="G12" s="290"/>
      <c r="H12" s="290">
        <f>F10*H10/D10</f>
        <v>338.4830506383899</v>
      </c>
      <c r="I12" s="290"/>
      <c r="J12" s="290"/>
      <c r="K12" s="290" t="s">
        <v>4889</v>
      </c>
      <c r="L12" s="290">
        <f>L11/L10</f>
        <v>0.39465706610147278</v>
      </c>
    </row>
    <row r="13" spans="1:19">
      <c r="S13" t="s">
        <v>25</v>
      </c>
    </row>
    <row r="14" spans="1:19" ht="15.75">
      <c r="A14" s="241" t="s">
        <v>6646</v>
      </c>
      <c r="B14" s="241" t="s">
        <v>4711</v>
      </c>
      <c r="C14" s="283" t="s">
        <v>6650</v>
      </c>
      <c r="D14" s="241" t="s">
        <v>6651</v>
      </c>
      <c r="E14" s="283" t="s">
        <v>6652</v>
      </c>
      <c r="F14" s="241" t="s">
        <v>6653</v>
      </c>
      <c r="G14" s="241" t="s">
        <v>6654</v>
      </c>
      <c r="H14" s="241" t="s">
        <v>6651</v>
      </c>
      <c r="I14" s="241" t="s">
        <v>6700</v>
      </c>
      <c r="J14" s="241" t="s">
        <v>6653</v>
      </c>
      <c r="K14" s="241" t="s">
        <v>4163</v>
      </c>
      <c r="L14" s="241" t="s">
        <v>4791</v>
      </c>
      <c r="M14" s="221">
        <v>40500000000</v>
      </c>
    </row>
    <row r="15" spans="1:19" ht="17.25">
      <c r="A15" s="287" t="s">
        <v>4712</v>
      </c>
      <c r="B15" s="288">
        <v>89305000000</v>
      </c>
      <c r="C15" s="289">
        <f>'سهام بنیادی'!B2</f>
        <v>25.67</v>
      </c>
      <c r="D15" s="289">
        <f t="shared" ref="D15:D23" si="1">B15*C15/$M$14</f>
        <v>56.603934567901234</v>
      </c>
      <c r="E15" s="289">
        <f>'سهام بنیادی'!C2</f>
        <v>25.2</v>
      </c>
      <c r="F15" s="289">
        <f>B15*E15/$M$14</f>
        <v>55.567555555555558</v>
      </c>
      <c r="G15" s="289">
        <f>'سهام بنیادی'!D2</f>
        <v>33.700000000000003</v>
      </c>
      <c r="H15" s="289">
        <f t="shared" ref="H15:H23" si="2">B15*G15/$M$14</f>
        <v>74.310580246913588</v>
      </c>
      <c r="I15" s="289">
        <f>'سهام بنیادی'!E2</f>
        <v>27</v>
      </c>
      <c r="J15" s="289">
        <f>B15*I15/$M$14</f>
        <v>59.536666666666669</v>
      </c>
      <c r="K15" s="289">
        <f>'سهام بنیادی'!H2</f>
        <v>218</v>
      </c>
      <c r="L15" s="289">
        <f t="shared" ref="L15:L23" si="3">B15*K15/$M$14</f>
        <v>480.70345679012348</v>
      </c>
    </row>
    <row r="16" spans="1:19" ht="17.25">
      <c r="A16" s="287" t="s">
        <v>6153</v>
      </c>
      <c r="B16" s="288">
        <v>5955280568</v>
      </c>
      <c r="C16" s="289">
        <f>'سهام بنیادی'!B20</f>
        <v>187.62790697674419</v>
      </c>
      <c r="D16" s="289">
        <f t="shared" si="1"/>
        <v>27.589551319336202</v>
      </c>
      <c r="E16" s="289">
        <f>'سهام بنیادی'!C20</f>
        <v>131.44186046511629</v>
      </c>
      <c r="F16" s="289">
        <f t="shared" ref="F16:F23" si="4">B16*E16/$M$14</f>
        <v>19.327732282708009</v>
      </c>
      <c r="G16" s="289">
        <v>248</v>
      </c>
      <c r="H16" s="289">
        <f t="shared" si="2"/>
        <v>36.466903231209876</v>
      </c>
      <c r="I16" s="289">
        <v>185</v>
      </c>
      <c r="J16" s="289">
        <f t="shared" ref="J16:J23" si="5">B16*I16/$M$14</f>
        <v>27.203133458765432</v>
      </c>
      <c r="K16" s="289">
        <f>'سهام بنیادی'!H20</f>
        <v>1428</v>
      </c>
      <c r="L16" s="289">
        <f t="shared" si="3"/>
        <v>209.97878150874075</v>
      </c>
      <c r="S16" t="s">
        <v>25</v>
      </c>
    </row>
    <row r="17" spans="1:36" ht="17.25">
      <c r="A17" s="287" t="s">
        <v>6152</v>
      </c>
      <c r="B17" s="288">
        <v>20486832542</v>
      </c>
      <c r="C17" s="289">
        <f>'سهام بنیادی'!B18</f>
        <v>100</v>
      </c>
      <c r="D17" s="289">
        <f t="shared" si="1"/>
        <v>50.584771708641973</v>
      </c>
      <c r="E17" s="289">
        <f>'سهام بنیادی'!C18</f>
        <v>82</v>
      </c>
      <c r="F17" s="289">
        <f t="shared" si="4"/>
        <v>41.479512801086422</v>
      </c>
      <c r="G17" s="289">
        <f>'سهام بنیادی'!D18</f>
        <v>169.4</v>
      </c>
      <c r="H17" s="289">
        <f t="shared" si="2"/>
        <v>85.690603274439511</v>
      </c>
      <c r="I17" s="289">
        <f>'سهام بنیادی'!E18</f>
        <v>135</v>
      </c>
      <c r="J17" s="289">
        <f t="shared" si="5"/>
        <v>68.289441806666673</v>
      </c>
      <c r="K17" s="289">
        <f>'سهام بنیادی'!H18</f>
        <v>955</v>
      </c>
      <c r="L17" s="289">
        <f t="shared" si="3"/>
        <v>483.08456981753085</v>
      </c>
      <c r="N17" t="s">
        <v>25</v>
      </c>
    </row>
    <row r="18" spans="1:36" ht="17.25">
      <c r="A18" s="287" t="s">
        <v>4716</v>
      </c>
      <c r="B18" s="288">
        <v>4127266661</v>
      </c>
      <c r="C18" s="289">
        <f>'سهام بنیادی'!B3</f>
        <v>2100</v>
      </c>
      <c r="D18" s="289">
        <f t="shared" si="1"/>
        <v>214.00641945925926</v>
      </c>
      <c r="E18" s="289">
        <f>'سهام بنیادی'!C3</f>
        <v>1350</v>
      </c>
      <c r="F18" s="289">
        <f t="shared" si="4"/>
        <v>137.57555536666666</v>
      </c>
      <c r="G18" s="289">
        <f>'سهام بنیادی'!D3</f>
        <v>4000</v>
      </c>
      <c r="H18" s="289">
        <f t="shared" si="2"/>
        <v>407.63127516049383</v>
      </c>
      <c r="I18" s="289">
        <f>'سهام بنیادی'!E3</f>
        <v>2350</v>
      </c>
      <c r="J18" s="289">
        <f t="shared" si="5"/>
        <v>239.48337415679012</v>
      </c>
      <c r="K18" s="289">
        <f>'سهام بنیادی'!H3</f>
        <v>19300</v>
      </c>
      <c r="L18" s="289">
        <f t="shared" si="3"/>
        <v>1966.8209026493828</v>
      </c>
    </row>
    <row r="19" spans="1:36" ht="17.25">
      <c r="A19" s="287" t="s">
        <v>4717</v>
      </c>
      <c r="B19" s="288">
        <v>2693179034</v>
      </c>
      <c r="C19" s="289">
        <f>'سهام بنیادی'!B4</f>
        <v>608.1</v>
      </c>
      <c r="D19" s="289">
        <f t="shared" si="1"/>
        <v>40.437584458651855</v>
      </c>
      <c r="E19" s="289">
        <f>'سهام بنیادی'!C4</f>
        <v>122</v>
      </c>
      <c r="F19" s="289">
        <f t="shared" si="4"/>
        <v>8.112786225876544</v>
      </c>
      <c r="G19" s="289">
        <f>'سهام بنیادی'!D4</f>
        <v>1090</v>
      </c>
      <c r="H19" s="289">
        <f t="shared" si="2"/>
        <v>72.483090050864192</v>
      </c>
      <c r="I19" s="289">
        <f>'سهام بنیادی'!E4</f>
        <v>375</v>
      </c>
      <c r="J19" s="289">
        <f t="shared" si="5"/>
        <v>24.936842907407406</v>
      </c>
      <c r="K19" s="289">
        <f>'سهام بنیادی'!H4</f>
        <v>6934</v>
      </c>
      <c r="L19" s="289">
        <f t="shared" si="3"/>
        <v>461.09884991990123</v>
      </c>
    </row>
    <row r="20" spans="1:36" ht="17.25">
      <c r="A20" s="287" t="s">
        <v>6154</v>
      </c>
      <c r="B20" s="288">
        <v>12384992403</v>
      </c>
      <c r="C20" s="289">
        <f>'سهام بنیادی'!B19</f>
        <v>185.33333333333334</v>
      </c>
      <c r="D20" s="289">
        <f t="shared" si="1"/>
        <v>56.675356181629631</v>
      </c>
      <c r="E20" s="289">
        <f>'سهام بنیادی'!C19</f>
        <v>139.16666666666666</v>
      </c>
      <c r="F20" s="289">
        <f t="shared" si="4"/>
        <v>42.557484183148148</v>
      </c>
      <c r="G20" s="289">
        <f>'سهام بنیادی'!D19</f>
        <v>200</v>
      </c>
      <c r="H20" s="289">
        <f t="shared" si="2"/>
        <v>61.160456311111112</v>
      </c>
      <c r="I20" s="289">
        <f>'سهام بنیادی'!E19</f>
        <v>195</v>
      </c>
      <c r="J20" s="289">
        <f t="shared" si="5"/>
        <v>59.631444903333332</v>
      </c>
      <c r="K20" s="289">
        <f>'سهام بنیادی'!H19</f>
        <v>1670</v>
      </c>
      <c r="L20" s="289">
        <f t="shared" si="3"/>
        <v>510.68981019777777</v>
      </c>
    </row>
    <row r="21" spans="1:36" ht="17.25">
      <c r="A21" s="287" t="s">
        <v>5341</v>
      </c>
      <c r="B21" s="288">
        <v>1636875595</v>
      </c>
      <c r="C21" s="289">
        <f>'سهام بنیادی'!B5</f>
        <v>352</v>
      </c>
      <c r="D21" s="289">
        <f t="shared" si="1"/>
        <v>14.226671838024691</v>
      </c>
      <c r="E21" s="289">
        <f>'سهام بنیادی'!C5</f>
        <v>110</v>
      </c>
      <c r="F21" s="289">
        <f t="shared" si="4"/>
        <v>4.4458349493827161</v>
      </c>
      <c r="G21" s="289">
        <f>'سهام بنیادی'!D5</f>
        <v>1113</v>
      </c>
      <c r="H21" s="289">
        <f t="shared" si="2"/>
        <v>44.983766351481485</v>
      </c>
      <c r="I21" s="289">
        <f>'سهام بنیادی'!E5</f>
        <v>570</v>
      </c>
      <c r="J21" s="289">
        <f t="shared" si="5"/>
        <v>23.037508374074076</v>
      </c>
      <c r="K21" s="289">
        <f>'سهام بنیادی'!H5</f>
        <v>6480</v>
      </c>
      <c r="L21" s="289">
        <f t="shared" si="3"/>
        <v>261.90009520000001</v>
      </c>
      <c r="O21" t="s">
        <v>25</v>
      </c>
    </row>
    <row r="22" spans="1:36" ht="17.25">
      <c r="A22" s="287" t="s">
        <v>4270</v>
      </c>
      <c r="B22" s="288">
        <v>813683684</v>
      </c>
      <c r="C22" s="289">
        <f>'سهام بنیادی'!B6</f>
        <v>2412</v>
      </c>
      <c r="D22" s="289">
        <f t="shared" si="1"/>
        <v>48.459383847111113</v>
      </c>
      <c r="E22" s="289">
        <f>'سهام بنیادی'!C6</f>
        <v>2300</v>
      </c>
      <c r="F22" s="289">
        <f t="shared" si="4"/>
        <v>46.209196869135802</v>
      </c>
      <c r="G22" s="289">
        <f>'سهام بنیادی'!D6</f>
        <v>1267</v>
      </c>
      <c r="H22" s="289">
        <f t="shared" si="2"/>
        <v>25.45524018834568</v>
      </c>
      <c r="I22" s="289">
        <f>'سهام بنیادی'!E6</f>
        <v>900</v>
      </c>
      <c r="J22" s="289">
        <f t="shared" si="5"/>
        <v>18.081859644444446</v>
      </c>
      <c r="K22" s="289">
        <f>'سهام بنیادی'!H6</f>
        <v>11500</v>
      </c>
      <c r="L22" s="289">
        <f t="shared" si="3"/>
        <v>231.04598434567902</v>
      </c>
    </row>
    <row r="23" spans="1:36" ht="17.25">
      <c r="A23" s="287" t="s">
        <v>4718</v>
      </c>
      <c r="B23" s="288">
        <v>236958025</v>
      </c>
      <c r="C23" s="289">
        <f>'سهام بنیادی'!B7</f>
        <v>803</v>
      </c>
      <c r="D23" s="289">
        <f t="shared" si="1"/>
        <v>4.6982047919753089</v>
      </c>
      <c r="E23" s="289">
        <f>'سهام بنیادی'!C7</f>
        <v>590</v>
      </c>
      <c r="F23" s="289">
        <f t="shared" si="4"/>
        <v>3.4519811049382718</v>
      </c>
      <c r="G23" s="289">
        <f>'سهام بنیادی'!D7</f>
        <v>1813</v>
      </c>
      <c r="H23" s="289">
        <f t="shared" si="2"/>
        <v>10.607528378395061</v>
      </c>
      <c r="I23" s="289">
        <f>'سهام بنیادی'!E7</f>
        <v>1435</v>
      </c>
      <c r="J23" s="289">
        <f t="shared" si="5"/>
        <v>8.3959201450617282</v>
      </c>
      <c r="K23" s="289">
        <f>'سهام بنیادی'!H7</f>
        <v>11550</v>
      </c>
      <c r="L23" s="289">
        <f t="shared" si="3"/>
        <v>67.576918240740738</v>
      </c>
      <c r="O23" t="s">
        <v>25</v>
      </c>
    </row>
    <row r="24" spans="1:36" ht="17.25">
      <c r="A24" s="287" t="s">
        <v>6647</v>
      </c>
      <c r="B24" s="288"/>
      <c r="C24" s="289"/>
      <c r="D24" s="289">
        <v>35</v>
      </c>
      <c r="E24" s="289"/>
      <c r="F24" s="289">
        <v>24</v>
      </c>
      <c r="G24" s="289"/>
      <c r="H24" s="289">
        <v>50</v>
      </c>
      <c r="I24" s="289"/>
      <c r="J24" s="289">
        <v>35</v>
      </c>
      <c r="K24" s="289"/>
      <c r="L24" s="289">
        <v>100</v>
      </c>
      <c r="AF24" t="s">
        <v>25</v>
      </c>
    </row>
    <row r="25" spans="1:36">
      <c r="A25" s="284"/>
      <c r="B25" s="285"/>
      <c r="C25" s="286"/>
      <c r="D25" s="286"/>
      <c r="E25" s="286"/>
      <c r="F25" s="286"/>
      <c r="G25" s="286"/>
      <c r="H25" s="286"/>
      <c r="I25" s="286"/>
      <c r="J25" s="286"/>
      <c r="K25" s="286"/>
      <c r="L25" s="286"/>
      <c r="N25" t="s">
        <v>25</v>
      </c>
      <c r="V25" t="s">
        <v>25</v>
      </c>
    </row>
    <row r="26" spans="1:36">
      <c r="A26" s="173"/>
      <c r="B26" s="221"/>
      <c r="C26" s="222"/>
      <c r="D26" s="222">
        <f>SUM(D15:D24)</f>
        <v>548.28187817253126</v>
      </c>
      <c r="E26" s="222"/>
      <c r="F26" s="222">
        <f>SUM(F15:F24)</f>
        <v>382.72763933849814</v>
      </c>
      <c r="G26" s="222"/>
      <c r="H26" s="222">
        <f>SUM(H15:H24)</f>
        <v>868.78944319325433</v>
      </c>
      <c r="I26" s="222"/>
      <c r="J26" s="222">
        <f>SUM(J15:J24)</f>
        <v>563.59619206320986</v>
      </c>
      <c r="K26" s="222"/>
      <c r="L26" s="222">
        <f>SUM(L15:L24)</f>
        <v>4772.8993686698768</v>
      </c>
      <c r="P26" t="s">
        <v>25</v>
      </c>
    </row>
    <row r="27" spans="1:36">
      <c r="A27" s="173"/>
      <c r="B27" s="221"/>
      <c r="C27" s="222"/>
      <c r="D27" s="222" t="s">
        <v>6585</v>
      </c>
      <c r="E27" s="222"/>
      <c r="F27" s="222" t="s">
        <v>6170</v>
      </c>
      <c r="G27" s="222"/>
      <c r="H27" s="222">
        <f>F26*H26/D26</f>
        <v>606.45763778267633</v>
      </c>
      <c r="I27" s="222"/>
      <c r="J27" s="222"/>
      <c r="K27" s="222"/>
      <c r="L27" s="222" t="s">
        <v>4426</v>
      </c>
    </row>
    <row r="29" spans="1:36">
      <c r="A29" s="186" t="s">
        <v>6024</v>
      </c>
      <c r="B29" s="186" t="s">
        <v>4711</v>
      </c>
      <c r="C29" s="186" t="s">
        <v>6018</v>
      </c>
      <c r="D29" s="186" t="s">
        <v>5367</v>
      </c>
      <c r="E29" s="186" t="s">
        <v>6017</v>
      </c>
      <c r="F29" s="186" t="s">
        <v>6027</v>
      </c>
    </row>
    <row r="30" spans="1:36">
      <c r="A30" s="186" t="s">
        <v>6016</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6019</v>
      </c>
      <c r="B31" s="186">
        <v>1175000000</v>
      </c>
      <c r="C31" s="186">
        <v>30</v>
      </c>
      <c r="D31" s="186">
        <f t="shared" si="6"/>
        <v>0.48958333333333331</v>
      </c>
      <c r="E31" s="186">
        <v>628</v>
      </c>
      <c r="F31" s="186">
        <f t="shared" si="7"/>
        <v>10.248611111111112</v>
      </c>
      <c r="AJ31" t="s">
        <v>25</v>
      </c>
    </row>
    <row r="32" spans="1:36">
      <c r="A32" s="186" t="s">
        <v>6020</v>
      </c>
      <c r="B32" s="186">
        <v>1120000000</v>
      </c>
      <c r="C32" s="186">
        <v>100</v>
      </c>
      <c r="D32" s="186">
        <f t="shared" si="6"/>
        <v>1.5555555555555556</v>
      </c>
      <c r="E32" s="186">
        <v>893</v>
      </c>
      <c r="F32" s="186">
        <f t="shared" si="7"/>
        <v>13.891111111111112</v>
      </c>
      <c r="H32" t="s">
        <v>25</v>
      </c>
    </row>
    <row r="33" spans="1:35">
      <c r="A33" s="186" t="s">
        <v>6021</v>
      </c>
      <c r="B33" s="186">
        <v>468000000</v>
      </c>
      <c r="C33" s="186">
        <v>180</v>
      </c>
      <c r="D33" s="186">
        <f t="shared" si="6"/>
        <v>1.17</v>
      </c>
      <c r="E33" s="186">
        <v>4566</v>
      </c>
      <c r="F33" s="186">
        <f t="shared" si="7"/>
        <v>29.678999999999998</v>
      </c>
    </row>
    <row r="34" spans="1:35">
      <c r="A34" s="186" t="s">
        <v>6022</v>
      </c>
      <c r="B34" s="186">
        <v>393000000</v>
      </c>
      <c r="C34" s="271">
        <v>185</v>
      </c>
      <c r="D34" s="186">
        <f t="shared" si="6"/>
        <v>1.0097916666666666</v>
      </c>
      <c r="E34" s="186">
        <v>1573</v>
      </c>
      <c r="F34" s="186">
        <f t="shared" si="7"/>
        <v>8.585958333333334</v>
      </c>
      <c r="K34" t="s">
        <v>25</v>
      </c>
      <c r="AI34" t="s">
        <v>25</v>
      </c>
    </row>
    <row r="35" spans="1:35">
      <c r="A35" s="186" t="s">
        <v>6023</v>
      </c>
      <c r="B35" s="186">
        <v>4360000</v>
      </c>
      <c r="C35" s="186">
        <v>347</v>
      </c>
      <c r="D35" s="186">
        <f t="shared" si="6"/>
        <v>2.1012777777777776E-2</v>
      </c>
      <c r="E35" s="186">
        <v>11399</v>
      </c>
      <c r="F35" s="186">
        <f t="shared" si="7"/>
        <v>0.69027277777777774</v>
      </c>
      <c r="H35" t="s">
        <v>25</v>
      </c>
    </row>
    <row r="36" spans="1:35">
      <c r="A36" s="186" t="s">
        <v>6026</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6" t="s">
        <v>6630</v>
      </c>
      <c r="B41" s="296" t="s">
        <v>4711</v>
      </c>
      <c r="C41" s="296" t="s">
        <v>6650</v>
      </c>
      <c r="D41" s="296" t="s">
        <v>6655</v>
      </c>
      <c r="E41" s="296" t="s">
        <v>6628</v>
      </c>
      <c r="F41" s="296" t="s">
        <v>6656</v>
      </c>
      <c r="G41" s="296" t="s">
        <v>6654</v>
      </c>
      <c r="H41" s="296" t="s">
        <v>6655</v>
      </c>
      <c r="I41" s="296" t="s">
        <v>6700</v>
      </c>
      <c r="J41" s="296" t="s">
        <v>6656</v>
      </c>
      <c r="K41" s="296" t="s">
        <v>4163</v>
      </c>
      <c r="L41" s="296" t="s">
        <v>6649</v>
      </c>
      <c r="M41" s="295">
        <v>18000000000</v>
      </c>
    </row>
    <row r="42" spans="1:35" ht="17.25">
      <c r="A42" s="296" t="s">
        <v>5591</v>
      </c>
      <c r="B42" s="297">
        <v>4733791436</v>
      </c>
      <c r="C42" s="298">
        <f>'سهام بنیادی'!B25</f>
        <v>173</v>
      </c>
      <c r="D42" s="298">
        <v>0</v>
      </c>
      <c r="E42" s="298">
        <f>'سهام بنیادی'!C25</f>
        <v>170</v>
      </c>
      <c r="F42" s="298">
        <v>0</v>
      </c>
      <c r="G42" s="298">
        <f>'سهام بنیادی'!D25</f>
        <v>431</v>
      </c>
      <c r="H42" s="298">
        <f>B42*G42/$M$41</f>
        <v>113.34800605088888</v>
      </c>
      <c r="I42" s="298">
        <f>'سهام بنیادی'!E25</f>
        <v>400</v>
      </c>
      <c r="J42" s="298">
        <f t="shared" ref="J42:J48" si="8">B42*I42/$M$41</f>
        <v>105.19536524444445</v>
      </c>
      <c r="K42" s="298">
        <f>'سهام بنیادی'!H25</f>
        <v>4375</v>
      </c>
      <c r="L42" s="298">
        <f t="shared" ref="L42:L47" si="9">B42*K42/$M$41</f>
        <v>1150.5743073611111</v>
      </c>
    </row>
    <row r="43" spans="1:35" ht="17.25">
      <c r="A43" s="296" t="s">
        <v>6631</v>
      </c>
      <c r="B43" s="297">
        <v>7228254280</v>
      </c>
      <c r="C43" s="298">
        <f>'سهام بنیادی'!B31</f>
        <v>109</v>
      </c>
      <c r="D43" s="298">
        <f>B43*C43/$M$41</f>
        <v>43.771095362222219</v>
      </c>
      <c r="E43" s="298">
        <f>'سهام بنیادی'!C31</f>
        <v>47</v>
      </c>
      <c r="F43" s="298">
        <f>B43*E43/$M$41</f>
        <v>18.873775064444445</v>
      </c>
      <c r="G43" s="298">
        <f>'سهام بنیادی'!D31</f>
        <v>104.7</v>
      </c>
      <c r="H43" s="298">
        <f t="shared" ref="H43:H47" si="10">B43*G43/$M$41</f>
        <v>42.04434572866667</v>
      </c>
      <c r="I43" s="298"/>
      <c r="J43" s="298">
        <f t="shared" si="8"/>
        <v>0</v>
      </c>
      <c r="K43" s="298">
        <f>'سهام بنیادی'!H31</f>
        <v>839</v>
      </c>
      <c r="L43" s="298">
        <f t="shared" si="9"/>
        <v>336.91696338444444</v>
      </c>
    </row>
    <row r="44" spans="1:35" ht="17.25">
      <c r="A44" s="296" t="s">
        <v>6634</v>
      </c>
      <c r="B44" s="297">
        <v>6050000000</v>
      </c>
      <c r="C44" s="298">
        <f>'سهام بنیادی'!B32</f>
        <v>39.299999999999997</v>
      </c>
      <c r="D44" s="298">
        <f>B44*C44/$M$41</f>
        <v>13.209166666666665</v>
      </c>
      <c r="E44" s="298">
        <f>'سهام بنیادی'!C32</f>
        <v>35.700000000000003</v>
      </c>
      <c r="F44" s="298">
        <f>B44*E44/$M$41</f>
        <v>11.999166666666669</v>
      </c>
      <c r="G44" s="298">
        <f>'سهام بنیادی'!D32</f>
        <v>47</v>
      </c>
      <c r="H44" s="298">
        <f t="shared" si="10"/>
        <v>15.797222222222222</v>
      </c>
      <c r="I44" s="298"/>
      <c r="J44" s="298">
        <f t="shared" si="8"/>
        <v>0</v>
      </c>
      <c r="K44" s="298">
        <f>'سهام بنیادی'!H32</f>
        <v>311</v>
      </c>
      <c r="L44" s="298">
        <f t="shared" si="9"/>
        <v>104.53055555555555</v>
      </c>
    </row>
    <row r="45" spans="1:35" ht="17.25">
      <c r="A45" s="296" t="s">
        <v>6632</v>
      </c>
      <c r="B45" s="297">
        <v>324970000</v>
      </c>
      <c r="C45" s="298">
        <f>'سهام بنیادی'!B33</f>
        <v>2959</v>
      </c>
      <c r="D45" s="298">
        <f>B45*C45/$M$41</f>
        <v>53.421457222222223</v>
      </c>
      <c r="E45" s="298">
        <f>'سهام بنیادی'!C33</f>
        <v>2400</v>
      </c>
      <c r="F45" s="298">
        <f>B45*E45/$M$41</f>
        <v>43.329333333333331</v>
      </c>
      <c r="G45" s="298">
        <f>'سهام بنیادی'!D33</f>
        <v>3500</v>
      </c>
      <c r="H45" s="298">
        <f t="shared" si="10"/>
        <v>63.188611111111108</v>
      </c>
      <c r="I45" s="298"/>
      <c r="J45" s="298">
        <f t="shared" si="8"/>
        <v>0</v>
      </c>
      <c r="K45" s="298">
        <f>'سهام بنیادی'!H33</f>
        <v>25000</v>
      </c>
      <c r="L45" s="298">
        <f t="shared" si="9"/>
        <v>451.34722222222223</v>
      </c>
    </row>
    <row r="46" spans="1:35" ht="17.25">
      <c r="A46" s="296" t="s">
        <v>6698</v>
      </c>
      <c r="B46" s="297">
        <v>5382680274</v>
      </c>
      <c r="C46" s="298">
        <f>'سهام بنیادی'!B34</f>
        <v>125</v>
      </c>
      <c r="D46" s="298">
        <f>B46*C46/$M$41</f>
        <v>37.379724125000003</v>
      </c>
      <c r="E46" s="298">
        <f>'سهام بنیادی'!C34</f>
        <v>100</v>
      </c>
      <c r="F46" s="298">
        <f>B46*E46/$M$41</f>
        <v>29.9037793</v>
      </c>
      <c r="G46" s="298">
        <f>'سهام بنیادی'!D34</f>
        <v>217.5</v>
      </c>
      <c r="H46" s="298">
        <f t="shared" si="10"/>
        <v>65.040719977500004</v>
      </c>
      <c r="I46" s="298">
        <f>'سهام بنیادی'!E34</f>
        <v>170</v>
      </c>
      <c r="J46" s="298">
        <f t="shared" si="8"/>
        <v>50.836424809999997</v>
      </c>
      <c r="K46" s="298">
        <f>'سهام بنیادی'!H34</f>
        <v>2086</v>
      </c>
      <c r="L46" s="298">
        <f t="shared" si="9"/>
        <v>623.79283619800003</v>
      </c>
      <c r="M46" t="s">
        <v>25</v>
      </c>
    </row>
    <row r="47" spans="1:35" ht="17.25">
      <c r="A47" s="296" t="s">
        <v>6635</v>
      </c>
      <c r="B47" s="297">
        <v>14500000000</v>
      </c>
      <c r="C47" s="298">
        <v>34.700000000000003</v>
      </c>
      <c r="D47" s="298">
        <f>B47*C47/$M$41</f>
        <v>27.952777777777783</v>
      </c>
      <c r="E47" s="298">
        <v>3.47</v>
      </c>
      <c r="F47" s="298">
        <f>B47*E47/$M$41</f>
        <v>2.7952777777777778</v>
      </c>
      <c r="G47" s="298">
        <v>49.3</v>
      </c>
      <c r="H47" s="298">
        <f t="shared" si="10"/>
        <v>39.713888888888889</v>
      </c>
      <c r="I47" s="298"/>
      <c r="J47" s="298">
        <f t="shared" si="8"/>
        <v>0</v>
      </c>
      <c r="K47" s="298">
        <v>500</v>
      </c>
      <c r="L47" s="298">
        <f t="shared" si="9"/>
        <v>402.77777777777777</v>
      </c>
    </row>
    <row r="48" spans="1:35" ht="17.25">
      <c r="A48" s="296" t="s">
        <v>5614</v>
      </c>
      <c r="B48" s="297"/>
      <c r="C48" s="298"/>
      <c r="D48" s="298">
        <v>26</v>
      </c>
      <c r="E48" s="298"/>
      <c r="F48" s="298">
        <v>26</v>
      </c>
      <c r="G48" s="298"/>
      <c r="H48" s="298">
        <v>30</v>
      </c>
      <c r="I48" s="298"/>
      <c r="J48" s="298">
        <f t="shared" si="8"/>
        <v>0</v>
      </c>
      <c r="K48" s="298"/>
      <c r="L48" s="298">
        <v>200</v>
      </c>
      <c r="N48" t="s">
        <v>25</v>
      </c>
    </row>
    <row r="49" spans="1:16" ht="17.25">
      <c r="A49" s="287"/>
      <c r="B49" s="288"/>
      <c r="C49" s="289"/>
      <c r="D49" s="289"/>
      <c r="E49" s="289"/>
      <c r="F49" s="289"/>
      <c r="G49" s="289"/>
      <c r="H49" s="289"/>
      <c r="I49" s="289"/>
      <c r="J49" s="289"/>
      <c r="K49" s="289"/>
      <c r="L49" s="289"/>
      <c r="N49" s="7"/>
    </row>
    <row r="50" spans="1:16" ht="17.25">
      <c r="A50" s="296"/>
      <c r="B50" s="297"/>
      <c r="C50" s="298"/>
      <c r="D50" s="299">
        <f>SUM(D42:D48)</f>
        <v>201.73422115388888</v>
      </c>
      <c r="E50" s="298"/>
      <c r="F50" s="299">
        <f>SUM(F42:F48)</f>
        <v>132.90133214222223</v>
      </c>
      <c r="G50" s="298"/>
      <c r="H50" s="299">
        <f>SUM(H42:H48)</f>
        <v>369.13279397927778</v>
      </c>
      <c r="I50" s="299"/>
      <c r="J50" s="299">
        <f>SUM(J42:J48)</f>
        <v>156.03179005444446</v>
      </c>
      <c r="K50" s="297">
        <f>L50*M41/1000000000000</f>
        <v>58.858913924984002</v>
      </c>
      <c r="L50" s="298">
        <f>SUM(L42:L48)</f>
        <v>3269.9396624991109</v>
      </c>
    </row>
    <row r="51" spans="1:16" ht="34.5">
      <c r="A51" s="296"/>
      <c r="B51" s="296"/>
      <c r="C51" s="296"/>
      <c r="D51" s="298" t="s">
        <v>6</v>
      </c>
      <c r="E51" s="299"/>
      <c r="F51" s="298" t="s">
        <v>6</v>
      </c>
      <c r="G51" s="296"/>
      <c r="H51" s="298" t="s">
        <v>6</v>
      </c>
      <c r="I51" s="298"/>
      <c r="J51" s="298" t="s">
        <v>6</v>
      </c>
      <c r="K51" s="306" t="s">
        <v>6699</v>
      </c>
      <c r="L51" s="298" t="s">
        <v>4426</v>
      </c>
    </row>
    <row r="54" spans="1:16">
      <c r="C54" t="s">
        <v>25</v>
      </c>
    </row>
    <row r="55" spans="1:16">
      <c r="P55" t="s">
        <v>25</v>
      </c>
    </row>
    <row r="56" spans="1:16">
      <c r="G56" t="s">
        <v>4962</v>
      </c>
      <c r="H56" t="s">
        <v>25</v>
      </c>
    </row>
    <row r="57" spans="1:16">
      <c r="C57" t="s">
        <v>4952</v>
      </c>
      <c r="D57" t="s">
        <v>4958</v>
      </c>
      <c r="E57" t="s">
        <v>4959</v>
      </c>
      <c r="F57" t="s">
        <v>4961</v>
      </c>
      <c r="G57">
        <f t="shared" ref="G57:G63" si="11">F58*11400/1000000000</f>
        <v>7965.2939999999999</v>
      </c>
      <c r="L57" t="s">
        <v>25</v>
      </c>
    </row>
    <row r="58" spans="1:16">
      <c r="C58" t="s">
        <v>4957</v>
      </c>
      <c r="D58">
        <v>1306</v>
      </c>
      <c r="E58">
        <v>0.53500000000000003</v>
      </c>
      <c r="F58">
        <f t="shared" ref="F58:F64" si="12">D58*E58*$D$69</f>
        <v>698710000</v>
      </c>
      <c r="G58">
        <f t="shared" si="11"/>
        <v>57</v>
      </c>
      <c r="N58" t="s">
        <v>25</v>
      </c>
    </row>
    <row r="59" spans="1:16">
      <c r="C59" t="s">
        <v>4963</v>
      </c>
      <c r="D59">
        <v>10</v>
      </c>
      <c r="E59">
        <v>0.5</v>
      </c>
      <c r="F59">
        <f t="shared" si="12"/>
        <v>5000000</v>
      </c>
      <c r="G59">
        <f t="shared" si="11"/>
        <v>3645.72</v>
      </c>
      <c r="L59" t="s">
        <v>25</v>
      </c>
    </row>
    <row r="60" spans="1:16">
      <c r="C60" t="s">
        <v>4964</v>
      </c>
      <c r="D60">
        <v>492</v>
      </c>
      <c r="E60">
        <v>0.65</v>
      </c>
      <c r="F60">
        <f t="shared" si="12"/>
        <v>319800000</v>
      </c>
      <c r="G60">
        <f t="shared" si="11"/>
        <v>2679</v>
      </c>
    </row>
    <row r="61" spans="1:16">
      <c r="A61" t="s">
        <v>5566</v>
      </c>
      <c r="C61" t="s">
        <v>4965</v>
      </c>
      <c r="D61">
        <v>235</v>
      </c>
      <c r="E61">
        <v>1</v>
      </c>
      <c r="F61">
        <f t="shared" si="12"/>
        <v>235000000</v>
      </c>
      <c r="G61">
        <f t="shared" si="11"/>
        <v>3420</v>
      </c>
    </row>
    <row r="62" spans="1:16">
      <c r="A62" t="s">
        <v>5567</v>
      </c>
      <c r="B62">
        <v>0.3</v>
      </c>
      <c r="C62" t="s">
        <v>4966</v>
      </c>
      <c r="D62">
        <v>500</v>
      </c>
      <c r="E62">
        <v>0.6</v>
      </c>
      <c r="F62">
        <f t="shared" si="12"/>
        <v>300000000</v>
      </c>
      <c r="G62">
        <f t="shared" si="11"/>
        <v>10294.200000000001</v>
      </c>
      <c r="H62">
        <v>1</v>
      </c>
      <c r="N62" t="s">
        <v>25</v>
      </c>
    </row>
    <row r="63" spans="1:16">
      <c r="A63" t="s">
        <v>5170</v>
      </c>
      <c r="B63" s="18">
        <v>36000000000000</v>
      </c>
      <c r="C63" t="s">
        <v>4967</v>
      </c>
      <c r="D63">
        <v>903</v>
      </c>
      <c r="E63">
        <v>1</v>
      </c>
      <c r="F63">
        <f t="shared" si="12"/>
        <v>903000000</v>
      </c>
      <c r="G63">
        <f t="shared" si="11"/>
        <v>0</v>
      </c>
    </row>
    <row r="64" spans="1:16">
      <c r="A64" t="s">
        <v>4711</v>
      </c>
      <c r="B64">
        <v>18000000000</v>
      </c>
      <c r="F64">
        <f t="shared" si="12"/>
        <v>0</v>
      </c>
    </row>
    <row r="65" spans="1:23">
      <c r="A65" t="s">
        <v>5568</v>
      </c>
      <c r="B65" s="18">
        <f>B62*B63/B64</f>
        <v>600</v>
      </c>
    </row>
    <row r="66" spans="1:23">
      <c r="A66" t="s">
        <v>5569</v>
      </c>
      <c r="B66">
        <v>872000000</v>
      </c>
    </row>
    <row r="67" spans="1:23">
      <c r="A67" t="s">
        <v>5570</v>
      </c>
      <c r="B67" s="18">
        <v>750</v>
      </c>
    </row>
    <row r="68" spans="1:23">
      <c r="A68" t="s">
        <v>5571</v>
      </c>
      <c r="B68">
        <f>B66*B67/B64</f>
        <v>36.333333333333336</v>
      </c>
      <c r="C68" t="s">
        <v>4953</v>
      </c>
      <c r="D68" t="s">
        <v>4954</v>
      </c>
    </row>
    <row r="69" spans="1:23">
      <c r="C69" t="s">
        <v>4960</v>
      </c>
      <c r="D69">
        <v>1000000</v>
      </c>
    </row>
    <row r="70" spans="1:23">
      <c r="B70" s="18"/>
      <c r="C70" t="s">
        <v>4955</v>
      </c>
      <c r="D70" t="s">
        <v>4956</v>
      </c>
      <c r="O70" t="s">
        <v>25</v>
      </c>
    </row>
    <row r="71" spans="1:23">
      <c r="O71" t="s">
        <v>25</v>
      </c>
    </row>
    <row r="75" spans="1:23">
      <c r="B75" t="s">
        <v>4711</v>
      </c>
      <c r="C75" t="s">
        <v>4163</v>
      </c>
      <c r="D75" t="s">
        <v>4327</v>
      </c>
      <c r="E75" t="s">
        <v>4958</v>
      </c>
      <c r="F75" t="s">
        <v>5262</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5588</v>
      </c>
    </row>
    <row r="83" spans="1:25">
      <c r="A83" t="s">
        <v>5580</v>
      </c>
    </row>
    <row r="84" spans="1:25">
      <c r="A84" t="s">
        <v>5581</v>
      </c>
    </row>
    <row r="85" spans="1:25">
      <c r="A85" t="s">
        <v>5589</v>
      </c>
    </row>
    <row r="86" spans="1:25">
      <c r="A86" t="s">
        <v>5341</v>
      </c>
    </row>
    <row r="87" spans="1:25">
      <c r="A87" t="s">
        <v>4718</v>
      </c>
    </row>
    <row r="88" spans="1:25">
      <c r="A88" t="s">
        <v>4717</v>
      </c>
    </row>
    <row r="89" spans="1:25">
      <c r="A89" t="s">
        <v>5583</v>
      </c>
      <c r="C89" t="s">
        <v>25</v>
      </c>
    </row>
    <row r="90" spans="1:25">
      <c r="A90" t="s">
        <v>5584</v>
      </c>
    </row>
    <row r="91" spans="1:25">
      <c r="A91" t="s">
        <v>5600</v>
      </c>
    </row>
    <row r="92" spans="1:25">
      <c r="A92" t="s">
        <v>4375</v>
      </c>
    </row>
    <row r="93" spans="1:25">
      <c r="A93" t="s">
        <v>4400</v>
      </c>
    </row>
    <row r="94" spans="1:25">
      <c r="C94" t="s">
        <v>25</v>
      </c>
      <c r="M94" t="s">
        <v>25</v>
      </c>
      <c r="O94" t="s">
        <v>25</v>
      </c>
    </row>
    <row r="95" spans="1:25">
      <c r="Y95" t="s">
        <v>25</v>
      </c>
    </row>
    <row r="96" spans="1:25">
      <c r="A96" t="s">
        <v>5582</v>
      </c>
    </row>
    <row r="97" spans="1:30">
      <c r="A97" t="s">
        <v>5140</v>
      </c>
    </row>
    <row r="98" spans="1:30">
      <c r="A98" t="s">
        <v>5149</v>
      </c>
    </row>
    <row r="99" spans="1:30">
      <c r="A99" t="s">
        <v>5593</v>
      </c>
      <c r="AD99" t="s">
        <v>25</v>
      </c>
    </row>
    <row r="100" spans="1:30">
      <c r="A100" t="s">
        <v>5154</v>
      </c>
    </row>
    <row r="101" spans="1:30">
      <c r="A101" t="s">
        <v>5594</v>
      </c>
      <c r="O101" t="s">
        <v>25</v>
      </c>
    </row>
    <row r="102" spans="1:30">
      <c r="A102" t="s">
        <v>5595</v>
      </c>
    </row>
    <row r="103" spans="1:30">
      <c r="A103" t="s">
        <v>5596</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5587</v>
      </c>
    </row>
    <row r="112" spans="1:30">
      <c r="A112" t="s">
        <v>5585</v>
      </c>
      <c r="X112" t="s">
        <v>25</v>
      </c>
    </row>
    <row r="113" spans="1:27">
      <c r="A113" t="s">
        <v>5586</v>
      </c>
    </row>
    <row r="114" spans="1:27">
      <c r="A114" t="s">
        <v>5597</v>
      </c>
    </row>
    <row r="115" spans="1:27">
      <c r="A115" t="s">
        <v>5598</v>
      </c>
      <c r="AA115" t="s">
        <v>25</v>
      </c>
    </row>
    <row r="116" spans="1:27">
      <c r="A116" t="s">
        <v>5599</v>
      </c>
    </row>
    <row r="118" spans="1:27">
      <c r="A118" t="s">
        <v>5590</v>
      </c>
    </row>
    <row r="119" spans="1:27">
      <c r="A119" t="s">
        <v>5591</v>
      </c>
    </row>
    <row r="120" spans="1:27">
      <c r="A120" t="s">
        <v>5592</v>
      </c>
    </row>
    <row r="122" spans="1:27">
      <c r="P122" t="s">
        <v>25</v>
      </c>
    </row>
    <row r="123" spans="1:27">
      <c r="G123" s="273"/>
      <c r="H123" s="273"/>
      <c r="I123" s="273"/>
      <c r="J123" s="273"/>
      <c r="K123" s="273"/>
      <c r="L123" s="273"/>
    </row>
    <row r="124" spans="1:27">
      <c r="A124" s="272" t="s">
        <v>4163</v>
      </c>
      <c r="B124" s="272">
        <v>17800</v>
      </c>
      <c r="C124" s="273"/>
      <c r="D124" s="273"/>
      <c r="E124" s="273"/>
      <c r="F124" s="273"/>
      <c r="G124" s="273"/>
      <c r="H124" s="273"/>
      <c r="I124" s="273"/>
      <c r="J124" s="273"/>
      <c r="K124" s="273"/>
      <c r="L124" s="273"/>
    </row>
    <row r="125" spans="1:27">
      <c r="A125" s="272" t="s">
        <v>6607</v>
      </c>
      <c r="B125" s="272">
        <v>4000</v>
      </c>
      <c r="C125" s="273"/>
      <c r="D125" s="273"/>
      <c r="E125" s="273"/>
      <c r="F125" s="273"/>
      <c r="G125" s="273"/>
      <c r="H125" s="273"/>
      <c r="I125" s="273"/>
      <c r="J125" s="273"/>
      <c r="K125" s="273"/>
      <c r="L125" s="273"/>
    </row>
    <row r="126" spans="1:27" ht="30">
      <c r="A126" s="272" t="s">
        <v>6606</v>
      </c>
      <c r="B126" s="272">
        <v>2134</v>
      </c>
      <c r="C126" s="273"/>
      <c r="D126" s="273"/>
      <c r="E126" s="273"/>
      <c r="F126" s="273"/>
      <c r="G126" s="274" t="s">
        <v>6603</v>
      </c>
      <c r="H126" s="275" t="s">
        <v>6604</v>
      </c>
      <c r="I126" s="275"/>
      <c r="J126" s="275"/>
      <c r="K126" s="275" t="s">
        <v>6605</v>
      </c>
      <c r="L126" s="275" t="s">
        <v>6608</v>
      </c>
    </row>
    <row r="127" spans="1:27" ht="15.75">
      <c r="A127" s="274"/>
      <c r="B127" s="272" t="s">
        <v>6601</v>
      </c>
      <c r="C127" s="272" t="s">
        <v>4716</v>
      </c>
      <c r="D127" s="272" t="s">
        <v>5637</v>
      </c>
      <c r="E127" s="274" t="s">
        <v>4134</v>
      </c>
      <c r="F127" s="274" t="s">
        <v>6602</v>
      </c>
      <c r="G127" s="276"/>
      <c r="H127" s="276"/>
      <c r="I127" s="276"/>
      <c r="J127" s="276"/>
      <c r="K127" s="276"/>
      <c r="L127" s="276"/>
    </row>
    <row r="128" spans="1:27" ht="15.75">
      <c r="A128" s="272" t="s">
        <v>4716</v>
      </c>
      <c r="B128" s="276">
        <v>6000000000</v>
      </c>
      <c r="C128" s="276">
        <v>0</v>
      </c>
      <c r="D128" s="276">
        <v>0</v>
      </c>
      <c r="E128" s="276">
        <v>0</v>
      </c>
      <c r="F128" s="276"/>
      <c r="G128" s="276">
        <f>F129*$B$124</f>
        <v>73465346565800</v>
      </c>
      <c r="H128" s="276">
        <f>G128/B129</f>
        <v>1813.9591744641975</v>
      </c>
      <c r="I128" s="276"/>
      <c r="J128" s="276"/>
      <c r="K128" s="276">
        <f>F129*$B$126/B129</f>
        <v>217.47128529812346</v>
      </c>
      <c r="L128" s="276">
        <f>F129*$B$125/B129</f>
        <v>407.63127516049383</v>
      </c>
    </row>
    <row r="129" spans="1:25" ht="15.75">
      <c r="A129" s="272" t="s">
        <v>5637</v>
      </c>
      <c r="B129" s="276">
        <v>40500000000</v>
      </c>
      <c r="C129" s="276">
        <v>4127266661</v>
      </c>
      <c r="D129" s="276">
        <v>0</v>
      </c>
      <c r="E129" s="276">
        <v>0</v>
      </c>
      <c r="F129" s="276">
        <f>C129</f>
        <v>4127266661</v>
      </c>
      <c r="G129" s="276">
        <f>F130*$B$124</f>
        <v>49884019697765.43</v>
      </c>
      <c r="H129" s="276">
        <f>G129/B130</f>
        <v>692.83360691340874</v>
      </c>
      <c r="I129" s="276"/>
      <c r="J129" s="276"/>
      <c r="K129" s="276">
        <f>F130*$B$126/B130</f>
        <v>83.06218635692214</v>
      </c>
      <c r="L129" s="276">
        <f>F130*$B$125/B130</f>
        <v>155.69294537379972</v>
      </c>
    </row>
    <row r="130" spans="1:25" ht="15.75">
      <c r="A130" s="272" t="s">
        <v>4134</v>
      </c>
      <c r="B130" s="276">
        <v>72000000000</v>
      </c>
      <c r="C130" s="276">
        <v>8000</v>
      </c>
      <c r="D130" s="276">
        <v>27500000000</v>
      </c>
      <c r="E130" s="276">
        <v>0</v>
      </c>
      <c r="F130" s="276">
        <f>C130+(D130/B129)*F129</f>
        <v>2802473016.728395</v>
      </c>
      <c r="G130" s="276">
        <f>F131*$B$124</f>
        <v>2127959166161.2981</v>
      </c>
      <c r="H130" s="276">
        <f>G130/B131</f>
        <v>177.3299305134415</v>
      </c>
      <c r="I130" s="276"/>
      <c r="J130" s="276"/>
      <c r="K130" s="276">
        <f>F131*$B$126/B131</f>
        <v>21.259666950319335</v>
      </c>
      <c r="L130" s="276">
        <f>F131*$B$125/B131</f>
        <v>39.849422587290228</v>
      </c>
    </row>
    <row r="131" spans="1:25" ht="15.75">
      <c r="A131" s="272" t="s">
        <v>4542</v>
      </c>
      <c r="B131" s="276">
        <v>12000000000</v>
      </c>
      <c r="C131" s="276">
        <v>84902942</v>
      </c>
      <c r="D131" s="276">
        <v>296603601</v>
      </c>
      <c r="E131" s="276">
        <v>113533718</v>
      </c>
      <c r="F131" s="276">
        <f>C131+(D131/B129)*F129+(E131/B130)*F130</f>
        <v>119548267.76187068</v>
      </c>
      <c r="G131" s="276">
        <f>F132*$B$124</f>
        <v>2325261683893.3311</v>
      </c>
      <c r="H131" s="276">
        <f>G131/B132</f>
        <v>77.508722796444374</v>
      </c>
      <c r="I131" s="276"/>
      <c r="J131" s="276"/>
      <c r="K131" s="276">
        <f>F132*$B$126/B132</f>
        <v>9.2923378903152969</v>
      </c>
      <c r="L131" s="276">
        <f>F132*$B$125/B132</f>
        <v>17.417690516054915</v>
      </c>
      <c r="Y131" t="s">
        <v>25</v>
      </c>
    </row>
    <row r="132" spans="1:25" ht="15.75">
      <c r="A132" s="272" t="s">
        <v>5140</v>
      </c>
      <c r="B132" s="276">
        <v>30000000000</v>
      </c>
      <c r="C132" s="276">
        <v>0</v>
      </c>
      <c r="D132" s="276">
        <v>0</v>
      </c>
      <c r="E132" s="276">
        <v>3356161798</v>
      </c>
      <c r="F132" s="276">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6808</v>
      </c>
      <c r="B1" s="2">
        <v>10320481438</v>
      </c>
      <c r="C1" s="2"/>
      <c r="D1" s="2"/>
      <c r="E1" s="2"/>
      <c r="F1" s="2"/>
      <c r="G1" s="2"/>
      <c r="H1" s="2"/>
      <c r="I1" s="2"/>
      <c r="J1" s="2"/>
      <c r="K1" s="2"/>
    </row>
    <row r="2" spans="1:11">
      <c r="A2" s="2" t="s">
        <v>6809</v>
      </c>
      <c r="B2" s="2">
        <v>397032</v>
      </c>
      <c r="C2" s="2"/>
      <c r="D2" s="2"/>
      <c r="E2" s="2"/>
      <c r="F2" s="2"/>
      <c r="G2" s="2"/>
      <c r="H2" s="2"/>
      <c r="I2" s="2"/>
      <c r="J2" s="2"/>
      <c r="K2" s="2"/>
    </row>
    <row r="3" spans="1:11">
      <c r="A3" s="2" t="s">
        <v>6810</v>
      </c>
      <c r="B3" s="2" t="s">
        <v>6811</v>
      </c>
      <c r="C3" s="2" t="s">
        <v>6814</v>
      </c>
      <c r="D3" s="2"/>
      <c r="E3" s="2"/>
      <c r="F3" s="2"/>
      <c r="G3" s="2"/>
      <c r="H3" s="2"/>
      <c r="I3" s="2"/>
      <c r="J3" s="2"/>
      <c r="K3" s="2"/>
    </row>
    <row r="4" spans="1:11">
      <c r="A4" s="2" t="s">
        <v>6812</v>
      </c>
      <c r="B4" s="2" t="s">
        <v>6813</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6816</v>
      </c>
    </row>
    <row r="40" spans="1:11">
      <c r="A40" t="s">
        <v>4716</v>
      </c>
    </row>
    <row r="41" spans="1:11">
      <c r="A41" s="11" t="s">
        <v>6838</v>
      </c>
      <c r="B41" s="11" t="s">
        <v>6839</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4931</v>
      </c>
      <c r="B26" s="18">
        <v>-2302282</v>
      </c>
      <c r="C26" s="2">
        <v>6</v>
      </c>
      <c r="D26" s="2">
        <f t="shared" si="0"/>
        <v>898</v>
      </c>
      <c r="E26" s="2">
        <f t="shared" si="1"/>
        <v>-2067449236</v>
      </c>
      <c r="F26" s="2"/>
    </row>
    <row r="27" spans="1:6">
      <c r="A27" s="2" t="s">
        <v>4936</v>
      </c>
      <c r="B27" s="18">
        <v>100000</v>
      </c>
      <c r="C27" s="2">
        <v>1</v>
      </c>
      <c r="D27" s="2">
        <f t="shared" si="0"/>
        <v>892</v>
      </c>
      <c r="E27" s="2">
        <f t="shared" si="1"/>
        <v>89200000</v>
      </c>
      <c r="F27" s="2"/>
    </row>
    <row r="28" spans="1:6">
      <c r="A28" s="2" t="s">
        <v>4939</v>
      </c>
      <c r="B28" s="18">
        <v>-1727718</v>
      </c>
      <c r="C28" s="2">
        <v>2</v>
      </c>
      <c r="D28" s="2">
        <f t="shared" si="0"/>
        <v>891</v>
      </c>
      <c r="E28" s="2">
        <f t="shared" si="1"/>
        <v>-1539396738</v>
      </c>
      <c r="F28" s="2"/>
    </row>
    <row r="29" spans="1:6">
      <c r="A29" s="2" t="s">
        <v>4943</v>
      </c>
      <c r="B29" s="18">
        <v>-1000000</v>
      </c>
      <c r="C29" s="2">
        <v>0</v>
      </c>
      <c r="D29" s="2">
        <f t="shared" si="0"/>
        <v>889</v>
      </c>
      <c r="E29" s="2">
        <f t="shared" si="1"/>
        <v>-889000000</v>
      </c>
      <c r="F29" s="2"/>
    </row>
    <row r="30" spans="1:6">
      <c r="A30" s="2" t="s">
        <v>4943</v>
      </c>
      <c r="B30" s="18">
        <v>-439200</v>
      </c>
      <c r="C30" s="2">
        <v>1</v>
      </c>
      <c r="D30" s="2">
        <f t="shared" si="0"/>
        <v>889</v>
      </c>
      <c r="E30" s="2">
        <f t="shared" si="1"/>
        <v>-390448800</v>
      </c>
      <c r="F30" s="2"/>
    </row>
    <row r="31" spans="1:6">
      <c r="A31" s="2" t="s">
        <v>4946</v>
      </c>
      <c r="B31" s="18">
        <v>-3631879</v>
      </c>
      <c r="C31" s="2">
        <v>3</v>
      </c>
      <c r="D31" s="2">
        <f t="shared" si="0"/>
        <v>888</v>
      </c>
      <c r="E31" s="2">
        <f t="shared" si="1"/>
        <v>-3225108552</v>
      </c>
      <c r="F31" s="2"/>
    </row>
    <row r="32" spans="1:6">
      <c r="A32" s="2" t="s">
        <v>4971</v>
      </c>
      <c r="B32" s="18">
        <v>-2428921</v>
      </c>
      <c r="C32" s="2">
        <v>9</v>
      </c>
      <c r="D32" s="2">
        <f t="shared" si="0"/>
        <v>885</v>
      </c>
      <c r="E32" s="2">
        <f t="shared" si="1"/>
        <v>-2149595085</v>
      </c>
      <c r="F32" s="2"/>
    </row>
    <row r="33" spans="1:6">
      <c r="A33" s="2" t="s">
        <v>4990</v>
      </c>
      <c r="B33" s="18">
        <v>-500000</v>
      </c>
      <c r="C33" s="2">
        <v>1</v>
      </c>
      <c r="D33" s="2">
        <f t="shared" si="0"/>
        <v>876</v>
      </c>
      <c r="E33" s="2">
        <f t="shared" si="1"/>
        <v>-438000000</v>
      </c>
      <c r="F33" s="2"/>
    </row>
    <row r="34" spans="1:6">
      <c r="A34" s="2" t="s">
        <v>4991</v>
      </c>
      <c r="B34" s="18">
        <v>-2603</v>
      </c>
      <c r="C34" s="2">
        <v>0</v>
      </c>
      <c r="D34" s="2">
        <f t="shared" si="0"/>
        <v>875</v>
      </c>
      <c r="E34" s="2">
        <f t="shared" si="1"/>
        <v>-2277625</v>
      </c>
      <c r="F34" s="2" t="s">
        <v>4992</v>
      </c>
    </row>
    <row r="35" spans="1:6">
      <c r="A35" s="2" t="s">
        <v>4991</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5005</v>
      </c>
      <c r="B37" s="18">
        <v>300000</v>
      </c>
      <c r="C37" s="2">
        <v>3</v>
      </c>
      <c r="D37" s="2">
        <f t="shared" si="2"/>
        <v>863</v>
      </c>
      <c r="E37" s="2">
        <f t="shared" si="3"/>
        <v>258900000</v>
      </c>
      <c r="F37" s="2"/>
    </row>
    <row r="38" spans="1:6">
      <c r="A38" s="2" t="s">
        <v>5011</v>
      </c>
      <c r="B38" s="18">
        <v>-50000</v>
      </c>
      <c r="C38" s="2">
        <v>3</v>
      </c>
      <c r="D38" s="2">
        <f t="shared" si="2"/>
        <v>860</v>
      </c>
      <c r="E38" s="2">
        <f t="shared" si="3"/>
        <v>-43000000</v>
      </c>
      <c r="F38" s="2"/>
    </row>
    <row r="39" spans="1:6">
      <c r="A39" s="2" t="s">
        <v>5016</v>
      </c>
      <c r="B39" s="18">
        <v>-1683146</v>
      </c>
      <c r="C39" s="2">
        <v>10</v>
      </c>
      <c r="D39" s="2">
        <f t="shared" si="2"/>
        <v>857</v>
      </c>
      <c r="E39" s="2">
        <f t="shared" si="3"/>
        <v>-1442456122</v>
      </c>
      <c r="F39" s="2"/>
    </row>
    <row r="40" spans="1:6">
      <c r="A40" s="2" t="s">
        <v>5028</v>
      </c>
      <c r="B40" s="18">
        <v>700000</v>
      </c>
      <c r="C40" s="2">
        <v>18</v>
      </c>
      <c r="D40" s="2">
        <f t="shared" si="2"/>
        <v>847</v>
      </c>
      <c r="E40" s="2">
        <f t="shared" si="3"/>
        <v>592900000</v>
      </c>
      <c r="F40" s="2"/>
    </row>
    <row r="41" spans="1:6">
      <c r="A41" s="2" t="s">
        <v>5041</v>
      </c>
      <c r="B41" s="18">
        <v>-700000</v>
      </c>
      <c r="C41" s="2">
        <v>46</v>
      </c>
      <c r="D41" s="2">
        <f t="shared" si="2"/>
        <v>829</v>
      </c>
      <c r="E41" s="2">
        <f t="shared" si="3"/>
        <v>-580300000</v>
      </c>
      <c r="F41" s="2"/>
    </row>
    <row r="42" spans="1:6">
      <c r="A42" s="2" t="s">
        <v>5091</v>
      </c>
      <c r="B42" s="18">
        <v>1000000</v>
      </c>
      <c r="C42" s="2">
        <v>4</v>
      </c>
      <c r="D42" s="2">
        <f t="shared" si="2"/>
        <v>783</v>
      </c>
      <c r="E42" s="2">
        <f t="shared" si="3"/>
        <v>783000000</v>
      </c>
      <c r="F42" s="2"/>
    </row>
    <row r="43" spans="1:6">
      <c r="A43" s="2" t="s">
        <v>5095</v>
      </c>
      <c r="B43" s="18">
        <v>1500000</v>
      </c>
      <c r="C43" s="2">
        <v>1</v>
      </c>
      <c r="D43" s="2">
        <f t="shared" si="2"/>
        <v>779</v>
      </c>
      <c r="E43" s="2">
        <f t="shared" si="3"/>
        <v>1168500000</v>
      </c>
      <c r="F43" s="2"/>
    </row>
    <row r="44" spans="1:6">
      <c r="A44" s="2" t="s">
        <v>5096</v>
      </c>
      <c r="B44" s="18">
        <v>-1500000</v>
      </c>
      <c r="C44" s="2">
        <v>15</v>
      </c>
      <c r="D44" s="2">
        <f t="shared" si="2"/>
        <v>778</v>
      </c>
      <c r="E44" s="2">
        <f t="shared" si="3"/>
        <v>-1167000000</v>
      </c>
      <c r="F44" s="2"/>
    </row>
    <row r="45" spans="1:6">
      <c r="A45" s="2" t="s">
        <v>5119</v>
      </c>
      <c r="B45" s="18">
        <v>-100000</v>
      </c>
      <c r="C45" s="2">
        <v>5</v>
      </c>
      <c r="D45" s="2">
        <f t="shared" si="2"/>
        <v>763</v>
      </c>
      <c r="E45" s="2">
        <f t="shared" si="3"/>
        <v>-76300000</v>
      </c>
      <c r="F45" s="2"/>
    </row>
    <row r="46" spans="1:6">
      <c r="A46" s="2" t="s">
        <v>5123</v>
      </c>
      <c r="B46" s="18">
        <v>1164690</v>
      </c>
      <c r="C46" s="2">
        <v>4</v>
      </c>
      <c r="D46" s="2">
        <f t="shared" si="2"/>
        <v>758</v>
      </c>
      <c r="E46" s="2">
        <f t="shared" si="3"/>
        <v>882835020</v>
      </c>
      <c r="F46" s="2"/>
    </row>
    <row r="47" spans="1:6">
      <c r="A47" s="2" t="s">
        <v>5132</v>
      </c>
      <c r="B47" s="18">
        <v>1000000</v>
      </c>
      <c r="C47" s="2">
        <v>4</v>
      </c>
      <c r="D47" s="2">
        <f t="shared" si="2"/>
        <v>754</v>
      </c>
      <c r="E47" s="2">
        <f t="shared" si="3"/>
        <v>754000000</v>
      </c>
      <c r="F47" s="2"/>
    </row>
    <row r="48" spans="1:6">
      <c r="A48" s="2" t="s">
        <v>5137</v>
      </c>
      <c r="B48" s="18">
        <v>-264690</v>
      </c>
      <c r="C48" s="2">
        <v>7</v>
      </c>
      <c r="D48" s="2">
        <f t="shared" si="2"/>
        <v>750</v>
      </c>
      <c r="E48" s="2">
        <f t="shared" si="3"/>
        <v>-198517500</v>
      </c>
      <c r="F48" s="2"/>
    </row>
    <row r="49" spans="1:6">
      <c r="A49" s="2" t="s">
        <v>5153</v>
      </c>
      <c r="B49" s="18">
        <v>2700000</v>
      </c>
      <c r="C49" s="2">
        <v>0</v>
      </c>
      <c r="D49" s="2">
        <f t="shared" si="2"/>
        <v>743</v>
      </c>
      <c r="E49" s="2">
        <f t="shared" si="3"/>
        <v>2006100000</v>
      </c>
      <c r="F49" s="2"/>
    </row>
    <row r="50" spans="1:6">
      <c r="A50" s="2" t="s">
        <v>5153</v>
      </c>
      <c r="B50" s="18">
        <v>-1000000</v>
      </c>
      <c r="C50" s="2">
        <v>1</v>
      </c>
      <c r="D50" s="2">
        <f t="shared" si="2"/>
        <v>743</v>
      </c>
      <c r="E50" s="2">
        <f t="shared" si="3"/>
        <v>-743000000</v>
      </c>
      <c r="F50" s="2" t="s">
        <v>5155</v>
      </c>
    </row>
    <row r="51" spans="1:6">
      <c r="A51" s="2" t="s">
        <v>5157</v>
      </c>
      <c r="B51" s="18">
        <v>-75616</v>
      </c>
      <c r="C51" s="2">
        <v>2</v>
      </c>
      <c r="D51" s="2">
        <f t="shared" si="2"/>
        <v>742</v>
      </c>
      <c r="E51" s="2">
        <f t="shared" si="3"/>
        <v>-56107072</v>
      </c>
      <c r="F51" s="2" t="s">
        <v>5158</v>
      </c>
    </row>
    <row r="52" spans="1:6">
      <c r="A52" s="2" t="s">
        <v>898</v>
      </c>
      <c r="B52" s="18">
        <v>-2424384</v>
      </c>
      <c r="C52" s="2">
        <v>2</v>
      </c>
      <c r="D52" s="2">
        <f t="shared" si="2"/>
        <v>740</v>
      </c>
      <c r="E52" s="2">
        <f t="shared" si="3"/>
        <v>-1794044160</v>
      </c>
      <c r="F52" s="2"/>
    </row>
    <row r="53" spans="1:6">
      <c r="A53" s="2" t="s">
        <v>5171</v>
      </c>
      <c r="B53" s="18">
        <v>-2000000</v>
      </c>
      <c r="C53" s="2">
        <v>6</v>
      </c>
      <c r="D53" s="2">
        <f t="shared" si="2"/>
        <v>738</v>
      </c>
      <c r="E53" s="2">
        <f t="shared" si="3"/>
        <v>-1476000000</v>
      </c>
      <c r="F53" s="2"/>
    </row>
    <row r="54" spans="1:6">
      <c r="A54" s="2" t="s">
        <v>5203</v>
      </c>
      <c r="B54" s="18">
        <v>2500000</v>
      </c>
      <c r="C54" s="2">
        <v>1</v>
      </c>
      <c r="D54" s="2">
        <f t="shared" si="2"/>
        <v>732</v>
      </c>
      <c r="E54" s="2">
        <f t="shared" si="3"/>
        <v>1830000000</v>
      </c>
      <c r="F54" s="2"/>
    </row>
    <row r="55" spans="1:6">
      <c r="A55" s="2" t="s">
        <v>5206</v>
      </c>
      <c r="B55" s="18">
        <v>3000000</v>
      </c>
      <c r="C55" s="2">
        <v>3</v>
      </c>
      <c r="D55" s="2">
        <f t="shared" si="2"/>
        <v>731</v>
      </c>
      <c r="E55" s="2">
        <f t="shared" si="3"/>
        <v>2193000000</v>
      </c>
      <c r="F55" s="2"/>
    </row>
    <row r="56" spans="1:6">
      <c r="A56" s="2" t="s">
        <v>5212</v>
      </c>
      <c r="B56" s="18">
        <v>-300000</v>
      </c>
      <c r="C56" s="2">
        <v>5</v>
      </c>
      <c r="D56" s="2">
        <f t="shared" si="2"/>
        <v>728</v>
      </c>
      <c r="E56" s="2">
        <f t="shared" si="3"/>
        <v>-218400000</v>
      </c>
      <c r="F56" s="2"/>
    </row>
    <row r="57" spans="1:6">
      <c r="A57" s="2" t="s">
        <v>5222</v>
      </c>
      <c r="B57" s="18">
        <v>500000</v>
      </c>
      <c r="C57" s="2">
        <v>1</v>
      </c>
      <c r="D57" s="2">
        <f t="shared" si="2"/>
        <v>723</v>
      </c>
      <c r="E57" s="2">
        <f t="shared" si="3"/>
        <v>361500000</v>
      </c>
      <c r="F57" s="2"/>
    </row>
    <row r="58" spans="1:6">
      <c r="A58" s="2" t="s">
        <v>5223</v>
      </c>
      <c r="B58" s="18">
        <v>1000000</v>
      </c>
      <c r="C58" s="2">
        <v>5</v>
      </c>
      <c r="D58" s="2">
        <f t="shared" si="2"/>
        <v>722</v>
      </c>
      <c r="E58" s="2">
        <f t="shared" si="3"/>
        <v>722000000</v>
      </c>
      <c r="F58" s="2"/>
    </row>
    <row r="59" spans="1:6">
      <c r="A59" s="2" t="s">
        <v>5228</v>
      </c>
      <c r="B59" s="18">
        <v>-2700000</v>
      </c>
      <c r="C59" s="2">
        <v>1</v>
      </c>
      <c r="D59" s="2">
        <f t="shared" si="2"/>
        <v>717</v>
      </c>
      <c r="E59" s="2">
        <f t="shared" si="3"/>
        <v>-1935900000</v>
      </c>
      <c r="F59" s="2"/>
    </row>
    <row r="60" spans="1:6">
      <c r="A60" s="2" t="s">
        <v>5229</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5249</v>
      </c>
      <c r="B62" s="18">
        <v>1000000</v>
      </c>
      <c r="C62" s="2">
        <v>20</v>
      </c>
      <c r="D62" s="2">
        <f t="shared" si="2"/>
        <v>698</v>
      </c>
      <c r="E62" s="2">
        <f t="shared" si="3"/>
        <v>698000000</v>
      </c>
      <c r="F62" s="2"/>
    </row>
    <row r="63" spans="1:6">
      <c r="A63" s="2" t="s">
        <v>5268</v>
      </c>
      <c r="B63" s="18">
        <v>-1000000</v>
      </c>
      <c r="C63" s="2">
        <v>25</v>
      </c>
      <c r="D63" s="2">
        <f t="shared" si="2"/>
        <v>678</v>
      </c>
      <c r="E63" s="2">
        <f t="shared" si="3"/>
        <v>-678000000</v>
      </c>
      <c r="F63" s="2"/>
    </row>
    <row r="64" spans="1:6">
      <c r="A64" s="2" t="s">
        <v>5295</v>
      </c>
      <c r="B64" s="18">
        <v>300000</v>
      </c>
      <c r="C64" s="2">
        <v>3</v>
      </c>
      <c r="D64" s="2">
        <f t="shared" si="2"/>
        <v>653</v>
      </c>
      <c r="E64" s="2">
        <f t="shared" si="3"/>
        <v>195900000</v>
      </c>
      <c r="F64" s="2"/>
    </row>
    <row r="65" spans="1:6">
      <c r="A65" s="2" t="s">
        <v>5300</v>
      </c>
      <c r="B65" s="18">
        <v>-300000</v>
      </c>
      <c r="C65" s="2">
        <v>9</v>
      </c>
      <c r="D65" s="2">
        <f t="shared" si="2"/>
        <v>650</v>
      </c>
      <c r="E65" s="2">
        <f t="shared" si="3"/>
        <v>-195000000</v>
      </c>
      <c r="F65" s="2"/>
    </row>
    <row r="66" spans="1:6">
      <c r="A66" s="2" t="s">
        <v>5308</v>
      </c>
      <c r="B66" s="18">
        <v>1000000</v>
      </c>
      <c r="C66" s="2">
        <v>24</v>
      </c>
      <c r="D66" s="2">
        <f t="shared" si="2"/>
        <v>641</v>
      </c>
      <c r="E66" s="2">
        <f t="shared" si="3"/>
        <v>641000000</v>
      </c>
      <c r="F66" s="2"/>
    </row>
    <row r="67" spans="1:6">
      <c r="A67" s="2" t="s">
        <v>5336</v>
      </c>
      <c r="B67" s="18">
        <v>-1380100</v>
      </c>
      <c r="C67" s="2">
        <v>11</v>
      </c>
      <c r="D67" s="2">
        <f t="shared" ref="D67:D98" si="4">C67+D68</f>
        <v>617</v>
      </c>
      <c r="E67" s="2">
        <f t="shared" ref="E67:E98" si="5">B67*D67</f>
        <v>-851521700</v>
      </c>
      <c r="F67" s="2"/>
    </row>
    <row r="68" spans="1:6">
      <c r="A68" s="2" t="s">
        <v>5350</v>
      </c>
      <c r="B68" s="18">
        <v>1280015</v>
      </c>
      <c r="C68" s="2">
        <v>0</v>
      </c>
      <c r="D68" s="2">
        <f t="shared" si="4"/>
        <v>606</v>
      </c>
      <c r="E68" s="2">
        <f t="shared" si="5"/>
        <v>775689090</v>
      </c>
      <c r="F68" s="2"/>
    </row>
    <row r="69" spans="1:6">
      <c r="A69" s="2" t="s">
        <v>5350</v>
      </c>
      <c r="B69" s="18">
        <v>300000</v>
      </c>
      <c r="C69" s="2">
        <v>7</v>
      </c>
      <c r="D69" s="2">
        <f t="shared" si="4"/>
        <v>606</v>
      </c>
      <c r="E69" s="2">
        <f t="shared" si="5"/>
        <v>181800000</v>
      </c>
      <c r="F69" s="2"/>
    </row>
    <row r="70" spans="1:6">
      <c r="A70" s="2" t="s">
        <v>5357</v>
      </c>
      <c r="B70" s="18">
        <v>3000000</v>
      </c>
      <c r="C70" s="2">
        <v>3</v>
      </c>
      <c r="D70" s="2">
        <f t="shared" si="4"/>
        <v>599</v>
      </c>
      <c r="E70" s="2">
        <f t="shared" si="5"/>
        <v>1797000000</v>
      </c>
      <c r="F70" s="2"/>
    </row>
    <row r="71" spans="1:6">
      <c r="A71" s="2" t="s">
        <v>5372</v>
      </c>
      <c r="B71" s="18">
        <v>300000</v>
      </c>
      <c r="C71" s="2">
        <v>8</v>
      </c>
      <c r="D71" s="2">
        <f t="shared" si="4"/>
        <v>596</v>
      </c>
      <c r="E71" s="2">
        <f t="shared" si="5"/>
        <v>178800000</v>
      </c>
      <c r="F71" s="2"/>
    </row>
    <row r="72" spans="1:6">
      <c r="A72" s="2" t="s">
        <v>5390</v>
      </c>
      <c r="B72" s="18">
        <v>-3500000</v>
      </c>
      <c r="C72" s="2">
        <v>6</v>
      </c>
      <c r="D72" s="2">
        <f t="shared" si="4"/>
        <v>588</v>
      </c>
      <c r="E72" s="2">
        <f t="shared" si="5"/>
        <v>-2058000000</v>
      </c>
      <c r="F72" s="2"/>
    </row>
    <row r="73" spans="1:6">
      <c r="A73" s="2" t="s">
        <v>5395</v>
      </c>
      <c r="B73" s="18">
        <v>-70000</v>
      </c>
      <c r="C73" s="2">
        <v>1</v>
      </c>
      <c r="D73" s="2">
        <f t="shared" si="4"/>
        <v>582</v>
      </c>
      <c r="E73" s="2">
        <f t="shared" si="5"/>
        <v>-40740000</v>
      </c>
      <c r="F73" s="2"/>
    </row>
    <row r="74" spans="1:6">
      <c r="A74" s="2" t="s">
        <v>5399</v>
      </c>
      <c r="B74" s="18">
        <v>70085</v>
      </c>
      <c r="C74" s="2">
        <v>7</v>
      </c>
      <c r="D74" s="2">
        <f t="shared" si="4"/>
        <v>581</v>
      </c>
      <c r="E74" s="2">
        <f t="shared" si="5"/>
        <v>40719385</v>
      </c>
      <c r="F74" s="2" t="s">
        <v>5400</v>
      </c>
    </row>
    <row r="75" spans="1:6">
      <c r="A75" s="2" t="s">
        <v>5406</v>
      </c>
      <c r="B75" s="18">
        <v>-1000000</v>
      </c>
      <c r="C75" s="2">
        <v>31</v>
      </c>
      <c r="D75" s="2">
        <f t="shared" si="4"/>
        <v>574</v>
      </c>
      <c r="E75" s="2">
        <f t="shared" si="5"/>
        <v>-574000000</v>
      </c>
      <c r="F75" s="2"/>
    </row>
    <row r="76" spans="1:6">
      <c r="A76" s="2" t="s">
        <v>5425</v>
      </c>
      <c r="B76" s="18">
        <v>6000000</v>
      </c>
      <c r="C76" s="2">
        <v>1</v>
      </c>
      <c r="D76" s="2">
        <f t="shared" si="4"/>
        <v>543</v>
      </c>
      <c r="E76" s="2">
        <f t="shared" si="5"/>
        <v>3258000000</v>
      </c>
      <c r="F76" s="2"/>
    </row>
    <row r="77" spans="1:6">
      <c r="A77" s="2" t="s">
        <v>5426</v>
      </c>
      <c r="B77" s="18">
        <v>6000000</v>
      </c>
      <c r="C77" s="2">
        <v>11</v>
      </c>
      <c r="D77" s="2">
        <f t="shared" si="4"/>
        <v>542</v>
      </c>
      <c r="E77" s="2">
        <f t="shared" si="5"/>
        <v>3252000000</v>
      </c>
      <c r="F77" s="2"/>
    </row>
    <row r="78" spans="1:6">
      <c r="A78" s="2" t="s">
        <v>5435</v>
      </c>
      <c r="B78" s="18">
        <v>48000000</v>
      </c>
      <c r="C78" s="2">
        <v>8</v>
      </c>
      <c r="D78" s="2">
        <f t="shared" si="4"/>
        <v>531</v>
      </c>
      <c r="E78" s="2">
        <f t="shared" si="5"/>
        <v>25488000000</v>
      </c>
      <c r="F78" s="2"/>
    </row>
    <row r="79" spans="1:6">
      <c r="A79" s="2" t="s">
        <v>5451</v>
      </c>
      <c r="B79" s="18">
        <v>-400000</v>
      </c>
      <c r="C79" s="2">
        <v>23</v>
      </c>
      <c r="D79" s="2">
        <f t="shared" si="4"/>
        <v>523</v>
      </c>
      <c r="E79" s="2">
        <f t="shared" si="5"/>
        <v>-209200000</v>
      </c>
      <c r="F79" s="2"/>
    </row>
    <row r="80" spans="1:6">
      <c r="A80" s="2" t="s">
        <v>5474</v>
      </c>
      <c r="B80" s="18">
        <v>500000</v>
      </c>
      <c r="C80" s="2">
        <v>4</v>
      </c>
      <c r="D80" s="2">
        <f t="shared" si="4"/>
        <v>500</v>
      </c>
      <c r="E80" s="2">
        <f t="shared" si="5"/>
        <v>250000000</v>
      </c>
      <c r="F80" s="2"/>
    </row>
    <row r="81" spans="1:6">
      <c r="A81" s="2" t="s">
        <v>5478</v>
      </c>
      <c r="B81" s="18">
        <v>-500000</v>
      </c>
      <c r="C81" s="2">
        <v>48</v>
      </c>
      <c r="D81" s="2">
        <f t="shared" si="4"/>
        <v>496</v>
      </c>
      <c r="E81" s="2">
        <f t="shared" si="5"/>
        <v>-248000000</v>
      </c>
      <c r="F81" s="2"/>
    </row>
    <row r="82" spans="1:6">
      <c r="A82" s="2" t="s">
        <v>5525</v>
      </c>
      <c r="B82" s="18">
        <v>2000000</v>
      </c>
      <c r="C82" s="2">
        <v>11</v>
      </c>
      <c r="D82" s="2">
        <f t="shared" si="4"/>
        <v>448</v>
      </c>
      <c r="E82" s="2">
        <f t="shared" si="5"/>
        <v>896000000</v>
      </c>
      <c r="F82" s="2"/>
    </row>
    <row r="83" spans="1:6">
      <c r="A83" s="2" t="s">
        <v>5535</v>
      </c>
      <c r="B83" s="18">
        <v>-2000000</v>
      </c>
      <c r="C83" s="2">
        <v>1</v>
      </c>
      <c r="D83" s="2">
        <f t="shared" si="4"/>
        <v>437</v>
      </c>
      <c r="E83" s="2">
        <f t="shared" si="5"/>
        <v>-874000000</v>
      </c>
      <c r="F83" s="2"/>
    </row>
    <row r="84" spans="1:6">
      <c r="A84" s="2" t="s">
        <v>5536</v>
      </c>
      <c r="B84" s="18">
        <v>-42203</v>
      </c>
      <c r="C84" s="2">
        <v>2</v>
      </c>
      <c r="D84" s="2">
        <f t="shared" si="4"/>
        <v>436</v>
      </c>
      <c r="E84" s="2">
        <f t="shared" si="5"/>
        <v>-18400508</v>
      </c>
      <c r="F84" s="2" t="s">
        <v>5537</v>
      </c>
    </row>
    <row r="85" spans="1:6">
      <c r="A85" s="2" t="s">
        <v>5539</v>
      </c>
      <c r="B85" s="18">
        <v>-365000</v>
      </c>
      <c r="C85" s="2">
        <v>5</v>
      </c>
      <c r="D85" s="2">
        <f t="shared" si="4"/>
        <v>434</v>
      </c>
      <c r="E85" s="2">
        <f t="shared" si="5"/>
        <v>-158410000</v>
      </c>
      <c r="F85" s="2" t="s">
        <v>5540</v>
      </c>
    </row>
    <row r="86" spans="1:6">
      <c r="A86" s="2" t="s">
        <v>5544</v>
      </c>
      <c r="B86" s="18">
        <v>12000000</v>
      </c>
      <c r="C86" s="2">
        <v>9</v>
      </c>
      <c r="D86" s="2">
        <f t="shared" si="4"/>
        <v>429</v>
      </c>
      <c r="E86" s="2">
        <f t="shared" si="5"/>
        <v>5148000000</v>
      </c>
      <c r="F86" s="2" t="s">
        <v>5545</v>
      </c>
    </row>
    <row r="87" spans="1:6">
      <c r="A87" s="2" t="s">
        <v>5549</v>
      </c>
      <c r="B87" s="18">
        <v>-4000000</v>
      </c>
      <c r="C87" s="2">
        <v>1</v>
      </c>
      <c r="D87" s="2">
        <f t="shared" si="4"/>
        <v>420</v>
      </c>
      <c r="E87" s="2">
        <f t="shared" si="5"/>
        <v>-1680000000</v>
      </c>
      <c r="F87" s="2"/>
    </row>
    <row r="88" spans="1:6">
      <c r="A88" s="2" t="s">
        <v>5553</v>
      </c>
      <c r="B88" s="18">
        <v>-5000000</v>
      </c>
      <c r="C88" s="2">
        <v>2</v>
      </c>
      <c r="D88" s="2">
        <f t="shared" si="4"/>
        <v>419</v>
      </c>
      <c r="E88" s="2">
        <f t="shared" si="5"/>
        <v>-2095000000</v>
      </c>
      <c r="F88" s="2"/>
    </row>
    <row r="89" spans="1:6">
      <c r="A89" s="2" t="s">
        <v>5551</v>
      </c>
      <c r="B89" s="18">
        <v>-2500000</v>
      </c>
      <c r="C89" s="2">
        <v>1</v>
      </c>
      <c r="D89" s="2">
        <f t="shared" si="4"/>
        <v>417</v>
      </c>
      <c r="E89" s="2">
        <f t="shared" si="5"/>
        <v>-1042500000</v>
      </c>
      <c r="F89" s="2"/>
    </row>
    <row r="90" spans="1:6">
      <c r="A90" s="2" t="s">
        <v>5552</v>
      </c>
      <c r="B90" s="18">
        <v>-500000</v>
      </c>
      <c r="C90" s="2">
        <v>17</v>
      </c>
      <c r="D90" s="2">
        <f t="shared" si="4"/>
        <v>416</v>
      </c>
      <c r="E90" s="2">
        <f t="shared" si="5"/>
        <v>-208000000</v>
      </c>
      <c r="F90" s="2"/>
    </row>
    <row r="91" spans="1:6">
      <c r="A91" s="2" t="s">
        <v>5554</v>
      </c>
      <c r="B91" s="18">
        <v>-192797</v>
      </c>
      <c r="C91" s="2">
        <v>15</v>
      </c>
      <c r="D91" s="2">
        <f t="shared" si="4"/>
        <v>399</v>
      </c>
      <c r="E91" s="2">
        <f t="shared" si="5"/>
        <v>-76926003</v>
      </c>
      <c r="F91" s="2"/>
    </row>
    <row r="92" spans="1:6">
      <c r="A92" s="2" t="s">
        <v>5559</v>
      </c>
      <c r="B92" s="18">
        <v>2000000</v>
      </c>
      <c r="C92" s="2">
        <v>12</v>
      </c>
      <c r="D92" s="2">
        <f t="shared" si="4"/>
        <v>384</v>
      </c>
      <c r="E92" s="2">
        <f t="shared" si="5"/>
        <v>768000000</v>
      </c>
      <c r="F92" s="2"/>
    </row>
    <row r="93" spans="1:6">
      <c r="A93" s="2" t="s">
        <v>5564</v>
      </c>
      <c r="B93" s="18">
        <v>-2000000</v>
      </c>
      <c r="C93" s="2">
        <v>0</v>
      </c>
      <c r="D93" s="2">
        <f t="shared" si="4"/>
        <v>372</v>
      </c>
      <c r="E93" s="2">
        <f t="shared" si="5"/>
        <v>-744000000</v>
      </c>
      <c r="F93" s="2"/>
    </row>
    <row r="94" spans="1:6">
      <c r="A94" s="2" t="s">
        <v>5564</v>
      </c>
      <c r="B94" s="18">
        <v>-4000000</v>
      </c>
      <c r="C94" s="2">
        <v>1</v>
      </c>
      <c r="D94" s="2">
        <f t="shared" si="4"/>
        <v>372</v>
      </c>
      <c r="E94" s="2">
        <f t="shared" si="5"/>
        <v>-1488000000</v>
      </c>
      <c r="F94" s="2"/>
    </row>
    <row r="95" spans="1:6">
      <c r="A95" s="2" t="s">
        <v>5565</v>
      </c>
      <c r="B95" s="18">
        <v>-3000000</v>
      </c>
      <c r="C95" s="2">
        <v>3</v>
      </c>
      <c r="D95" s="2">
        <f t="shared" si="4"/>
        <v>371</v>
      </c>
      <c r="E95" s="2">
        <f t="shared" si="5"/>
        <v>-1113000000</v>
      </c>
      <c r="F95" s="2"/>
    </row>
    <row r="96" spans="1:6">
      <c r="A96" s="2" t="s">
        <v>5572</v>
      </c>
      <c r="B96" s="18">
        <v>-6000000</v>
      </c>
      <c r="C96" s="2">
        <v>1</v>
      </c>
      <c r="D96" s="2">
        <f t="shared" si="4"/>
        <v>368</v>
      </c>
      <c r="E96" s="2">
        <f t="shared" si="5"/>
        <v>-2208000000</v>
      </c>
      <c r="F96" s="2"/>
    </row>
    <row r="97" spans="1:6">
      <c r="A97" s="2" t="s">
        <v>5574</v>
      </c>
      <c r="B97" s="18">
        <v>-10000000</v>
      </c>
      <c r="C97" s="2">
        <v>0</v>
      </c>
      <c r="D97" s="2">
        <f t="shared" si="4"/>
        <v>367</v>
      </c>
      <c r="E97" s="2">
        <f t="shared" si="5"/>
        <v>-3670000000</v>
      </c>
      <c r="F97" s="2"/>
    </row>
    <row r="98" spans="1:6">
      <c r="A98" s="2" t="s">
        <v>5574</v>
      </c>
      <c r="B98" s="18">
        <v>-5500000</v>
      </c>
      <c r="C98" s="2">
        <v>1</v>
      </c>
      <c r="D98" s="2">
        <f t="shared" si="4"/>
        <v>367</v>
      </c>
      <c r="E98" s="2">
        <f t="shared" si="5"/>
        <v>-2018500000</v>
      </c>
      <c r="F98" s="2"/>
    </row>
    <row r="99" spans="1:6">
      <c r="A99" s="2" t="s">
        <v>5575</v>
      </c>
      <c r="B99" s="18">
        <v>-1500000</v>
      </c>
      <c r="C99" s="2">
        <v>9</v>
      </c>
      <c r="D99" s="2">
        <f t="shared" ref="D99:D130" si="6">C99+D100</f>
        <v>366</v>
      </c>
      <c r="E99" s="2">
        <f t="shared" ref="E99:E130" si="7">B99*D99</f>
        <v>-549000000</v>
      </c>
      <c r="F99" s="2"/>
    </row>
    <row r="100" spans="1:6">
      <c r="A100" s="2" t="s">
        <v>5601</v>
      </c>
      <c r="B100" s="18">
        <v>-22545000</v>
      </c>
      <c r="C100" s="2">
        <v>18</v>
      </c>
      <c r="D100" s="2">
        <f t="shared" si="6"/>
        <v>357</v>
      </c>
      <c r="E100" s="2">
        <f t="shared" si="7"/>
        <v>-8048565000</v>
      </c>
      <c r="F100" s="2" t="s">
        <v>5604</v>
      </c>
    </row>
    <row r="101" spans="1:6">
      <c r="A101" s="2" t="s">
        <v>5611</v>
      </c>
      <c r="B101" s="18">
        <v>5000000</v>
      </c>
      <c r="C101" s="2">
        <v>9</v>
      </c>
      <c r="D101" s="2">
        <f t="shared" si="6"/>
        <v>339</v>
      </c>
      <c r="E101" s="2">
        <f t="shared" si="7"/>
        <v>1695000000</v>
      </c>
      <c r="F101" s="2"/>
    </row>
    <row r="102" spans="1:6">
      <c r="A102" s="2" t="s">
        <v>5615</v>
      </c>
      <c r="B102" s="18">
        <v>3000000</v>
      </c>
      <c r="C102" s="2">
        <v>0</v>
      </c>
      <c r="D102" s="2">
        <f t="shared" si="6"/>
        <v>330</v>
      </c>
      <c r="E102" s="2">
        <f t="shared" si="7"/>
        <v>990000000</v>
      </c>
      <c r="F102" s="2"/>
    </row>
    <row r="103" spans="1:6">
      <c r="A103" s="2" t="s">
        <v>5615</v>
      </c>
      <c r="B103" s="18">
        <v>-3000000</v>
      </c>
      <c r="C103" s="2">
        <v>1</v>
      </c>
      <c r="D103" s="2">
        <f t="shared" si="6"/>
        <v>330</v>
      </c>
      <c r="E103" s="2">
        <f t="shared" si="7"/>
        <v>-990000000</v>
      </c>
      <c r="F103" s="2"/>
    </row>
    <row r="104" spans="1:6">
      <c r="A104" s="2" t="s">
        <v>5616</v>
      </c>
      <c r="B104" s="18">
        <v>-11455000</v>
      </c>
      <c r="C104" s="2">
        <v>14</v>
      </c>
      <c r="D104" s="2">
        <f t="shared" si="6"/>
        <v>329</v>
      </c>
      <c r="E104" s="2">
        <f t="shared" si="7"/>
        <v>-3768695000</v>
      </c>
      <c r="F104" s="2"/>
    </row>
    <row r="105" spans="1:6">
      <c r="A105" s="2" t="s">
        <v>5991</v>
      </c>
      <c r="B105" s="18">
        <v>2317100</v>
      </c>
      <c r="C105" s="2">
        <v>3</v>
      </c>
      <c r="D105" s="2">
        <f t="shared" si="6"/>
        <v>315</v>
      </c>
      <c r="E105" s="2">
        <f t="shared" si="7"/>
        <v>729886500</v>
      </c>
      <c r="F105" s="2"/>
    </row>
    <row r="106" spans="1:6">
      <c r="A106" s="2" t="s">
        <v>5992</v>
      </c>
      <c r="B106" s="18">
        <v>699000</v>
      </c>
      <c r="C106" s="2">
        <v>3</v>
      </c>
      <c r="D106" s="2">
        <f t="shared" si="6"/>
        <v>312</v>
      </c>
      <c r="E106" s="2">
        <f t="shared" si="7"/>
        <v>218088000</v>
      </c>
      <c r="F106" s="2"/>
    </row>
    <row r="107" spans="1:6">
      <c r="A107" s="2" t="s">
        <v>5994</v>
      </c>
      <c r="B107" s="18">
        <v>-1016100</v>
      </c>
      <c r="C107" s="2">
        <v>5</v>
      </c>
      <c r="D107" s="2">
        <f t="shared" si="6"/>
        <v>309</v>
      </c>
      <c r="E107" s="2">
        <f t="shared" si="7"/>
        <v>-313974900</v>
      </c>
      <c r="F107" s="2"/>
    </row>
    <row r="108" spans="1:6">
      <c r="A108" s="2" t="s">
        <v>6001</v>
      </c>
      <c r="B108" s="18">
        <v>-680000</v>
      </c>
      <c r="C108" s="2">
        <v>3</v>
      </c>
      <c r="D108" s="2">
        <f t="shared" si="6"/>
        <v>304</v>
      </c>
      <c r="E108" s="2">
        <f t="shared" si="7"/>
        <v>-206720000</v>
      </c>
      <c r="F108" s="2"/>
    </row>
    <row r="109" spans="1:6">
      <c r="A109" s="2" t="s">
        <v>6002</v>
      </c>
      <c r="B109" s="18">
        <v>-216000</v>
      </c>
      <c r="C109" s="2">
        <v>3</v>
      </c>
      <c r="D109" s="2">
        <f t="shared" si="6"/>
        <v>301</v>
      </c>
      <c r="E109" s="2">
        <f t="shared" si="7"/>
        <v>-65016000</v>
      </c>
      <c r="F109" s="2"/>
    </row>
    <row r="110" spans="1:6">
      <c r="A110" s="2" t="s">
        <v>6003</v>
      </c>
      <c r="B110" s="18">
        <v>-619000</v>
      </c>
      <c r="C110" s="2">
        <v>3</v>
      </c>
      <c r="D110" s="2">
        <f t="shared" si="6"/>
        <v>298</v>
      </c>
      <c r="E110" s="2">
        <f t="shared" si="7"/>
        <v>-184462000</v>
      </c>
      <c r="F110" s="2"/>
    </row>
    <row r="111" spans="1:6" ht="30">
      <c r="A111" s="134" t="s">
        <v>6005</v>
      </c>
      <c r="B111" s="171">
        <v>-485000</v>
      </c>
      <c r="C111" s="134">
        <v>11</v>
      </c>
      <c r="D111" s="2">
        <f t="shared" si="6"/>
        <v>295</v>
      </c>
      <c r="E111" s="2">
        <f t="shared" si="7"/>
        <v>-143075000</v>
      </c>
      <c r="F111" s="156" t="s">
        <v>6183</v>
      </c>
    </row>
    <row r="112" spans="1:6">
      <c r="A112" s="2" t="s">
        <v>6012</v>
      </c>
      <c r="B112" s="18">
        <v>3000000</v>
      </c>
      <c r="C112" s="2">
        <v>1</v>
      </c>
      <c r="D112" s="2">
        <f t="shared" si="6"/>
        <v>284</v>
      </c>
      <c r="E112" s="18">
        <f t="shared" si="7"/>
        <v>852000000</v>
      </c>
      <c r="F112" s="2"/>
    </row>
    <row r="113" spans="1:6">
      <c r="A113" s="2" t="s">
        <v>6013</v>
      </c>
      <c r="B113" s="18">
        <v>255000</v>
      </c>
      <c r="C113" s="2">
        <v>1</v>
      </c>
      <c r="D113" s="2">
        <f t="shared" si="6"/>
        <v>283</v>
      </c>
      <c r="E113" s="18">
        <f t="shared" si="7"/>
        <v>72165000</v>
      </c>
      <c r="F113" s="2" t="s">
        <v>6014</v>
      </c>
    </row>
    <row r="114" spans="1:6">
      <c r="A114" s="2" t="s">
        <v>6015</v>
      </c>
      <c r="B114" s="18">
        <v>-3255000</v>
      </c>
      <c r="C114" s="2">
        <v>9</v>
      </c>
      <c r="D114" s="2">
        <f t="shared" si="6"/>
        <v>282</v>
      </c>
      <c r="E114" s="18">
        <f t="shared" si="7"/>
        <v>-917910000</v>
      </c>
      <c r="F114" s="2"/>
    </row>
    <row r="115" spans="1:6">
      <c r="A115" s="2" t="s">
        <v>6029</v>
      </c>
      <c r="B115" s="18">
        <v>60000000</v>
      </c>
      <c r="C115" s="2">
        <v>19</v>
      </c>
      <c r="D115" s="2">
        <f t="shared" si="6"/>
        <v>273</v>
      </c>
      <c r="E115" s="18">
        <f t="shared" si="7"/>
        <v>16380000000</v>
      </c>
      <c r="F115" s="2"/>
    </row>
    <row r="116" spans="1:6">
      <c r="A116" s="2" t="s">
        <v>6034</v>
      </c>
      <c r="B116" s="18">
        <v>473628</v>
      </c>
      <c r="C116" s="2">
        <v>2</v>
      </c>
      <c r="D116" s="2">
        <f t="shared" si="6"/>
        <v>254</v>
      </c>
      <c r="E116" s="18">
        <f t="shared" si="7"/>
        <v>120301512</v>
      </c>
      <c r="F116" s="2" t="s">
        <v>6035</v>
      </c>
    </row>
    <row r="117" spans="1:6">
      <c r="A117" s="2" t="s">
        <v>6036</v>
      </c>
      <c r="B117" s="18">
        <v>-473628</v>
      </c>
      <c r="C117" s="2">
        <v>1</v>
      </c>
      <c r="D117" s="2">
        <f t="shared" si="6"/>
        <v>252</v>
      </c>
      <c r="E117" s="18">
        <f t="shared" si="7"/>
        <v>-119354256</v>
      </c>
      <c r="F117" s="2"/>
    </row>
    <row r="118" spans="1:6">
      <c r="A118" s="2" t="s">
        <v>6038</v>
      </c>
      <c r="B118" s="18">
        <v>-6000000</v>
      </c>
      <c r="C118" s="2">
        <v>3</v>
      </c>
      <c r="D118" s="2">
        <f t="shared" si="6"/>
        <v>251</v>
      </c>
      <c r="E118" s="18">
        <f t="shared" si="7"/>
        <v>-1506000000</v>
      </c>
      <c r="F118" s="2"/>
    </row>
    <row r="119" spans="1:6">
      <c r="A119" s="2" t="s">
        <v>6040</v>
      </c>
      <c r="B119" s="18">
        <v>-475000</v>
      </c>
      <c r="C119" s="2">
        <v>1</v>
      </c>
      <c r="D119" s="2">
        <f t="shared" si="6"/>
        <v>248</v>
      </c>
      <c r="E119" s="18">
        <f t="shared" si="7"/>
        <v>-117800000</v>
      </c>
      <c r="F119" s="2" t="s">
        <v>6041</v>
      </c>
    </row>
    <row r="120" spans="1:6">
      <c r="A120" s="2" t="s">
        <v>6042</v>
      </c>
      <c r="B120" s="18">
        <v>-837000</v>
      </c>
      <c r="C120" s="2">
        <v>1</v>
      </c>
      <c r="D120" s="2">
        <f t="shared" si="6"/>
        <v>247</v>
      </c>
      <c r="E120" s="18">
        <f t="shared" si="7"/>
        <v>-206739000</v>
      </c>
      <c r="F120" s="2" t="s">
        <v>6041</v>
      </c>
    </row>
    <row r="121" spans="1:6">
      <c r="A121" s="2" t="s">
        <v>6043</v>
      </c>
      <c r="B121" s="18">
        <v>-493000</v>
      </c>
      <c r="C121" s="2">
        <v>1</v>
      </c>
      <c r="D121" s="2">
        <f t="shared" si="6"/>
        <v>246</v>
      </c>
      <c r="E121" s="18">
        <f t="shared" si="7"/>
        <v>-121278000</v>
      </c>
      <c r="F121" s="2" t="s">
        <v>6041</v>
      </c>
    </row>
    <row r="122" spans="1:6">
      <c r="A122" s="278" t="s">
        <v>6044</v>
      </c>
      <c r="B122" s="18">
        <v>54000</v>
      </c>
      <c r="C122" s="2">
        <v>3</v>
      </c>
      <c r="D122" s="2">
        <f t="shared" si="6"/>
        <v>245</v>
      </c>
      <c r="E122" s="18">
        <f t="shared" si="7"/>
        <v>13230000</v>
      </c>
      <c r="F122" s="2" t="s">
        <v>6045</v>
      </c>
    </row>
    <row r="123" spans="1:6">
      <c r="A123" s="2" t="s">
        <v>6046</v>
      </c>
      <c r="B123" s="18">
        <v>-400000</v>
      </c>
      <c r="C123" s="2">
        <v>2</v>
      </c>
      <c r="D123" s="2">
        <f t="shared" si="6"/>
        <v>242</v>
      </c>
      <c r="E123" s="18">
        <f t="shared" si="7"/>
        <v>-96800000</v>
      </c>
      <c r="F123" s="2" t="s">
        <v>6047</v>
      </c>
    </row>
    <row r="124" spans="1:6">
      <c r="A124" s="2" t="s">
        <v>6049</v>
      </c>
      <c r="B124" s="18">
        <v>-938000</v>
      </c>
      <c r="C124" s="2">
        <v>9</v>
      </c>
      <c r="D124" s="2">
        <f t="shared" si="6"/>
        <v>240</v>
      </c>
      <c r="E124" s="18">
        <f t="shared" si="7"/>
        <v>-225120000</v>
      </c>
      <c r="F124" s="2" t="s">
        <v>6041</v>
      </c>
    </row>
    <row r="125" spans="1:6">
      <c r="A125" s="2" t="s">
        <v>6150</v>
      </c>
      <c r="B125" s="18">
        <v>-7911000</v>
      </c>
      <c r="C125" s="2">
        <v>12</v>
      </c>
      <c r="D125" s="2">
        <f t="shared" si="6"/>
        <v>231</v>
      </c>
      <c r="E125" s="18">
        <f t="shared" si="7"/>
        <v>-1827441000</v>
      </c>
      <c r="F125" s="2" t="s">
        <v>6151</v>
      </c>
    </row>
    <row r="126" spans="1:6">
      <c r="A126" s="2" t="s">
        <v>6156</v>
      </c>
      <c r="B126" s="18">
        <v>1000000</v>
      </c>
      <c r="C126" s="2">
        <v>1</v>
      </c>
      <c r="D126" s="2">
        <f t="shared" si="6"/>
        <v>219</v>
      </c>
      <c r="E126" s="18">
        <f t="shared" si="7"/>
        <v>219000000</v>
      </c>
      <c r="F126" s="2" t="s">
        <v>6162</v>
      </c>
    </row>
    <row r="127" spans="1:6">
      <c r="A127" s="2" t="s">
        <v>6157</v>
      </c>
      <c r="B127" s="18">
        <v>-1000000</v>
      </c>
      <c r="C127" s="2">
        <v>19</v>
      </c>
      <c r="D127" s="2">
        <f t="shared" si="6"/>
        <v>218</v>
      </c>
      <c r="E127" s="18">
        <f t="shared" si="7"/>
        <v>-218000000</v>
      </c>
      <c r="F127" s="2" t="s">
        <v>6151</v>
      </c>
    </row>
    <row r="128" spans="1:6">
      <c r="A128" s="2" t="s">
        <v>6171</v>
      </c>
      <c r="B128" s="18">
        <v>400000</v>
      </c>
      <c r="C128" s="2">
        <v>0</v>
      </c>
      <c r="D128" s="2">
        <f t="shared" si="6"/>
        <v>199</v>
      </c>
      <c r="E128" s="18">
        <f t="shared" si="7"/>
        <v>79600000</v>
      </c>
      <c r="F128" s="2"/>
    </row>
    <row r="129" spans="1:6">
      <c r="A129" s="2" t="s">
        <v>6171</v>
      </c>
      <c r="B129" s="18">
        <v>-400000</v>
      </c>
      <c r="C129" s="2">
        <v>11</v>
      </c>
      <c r="D129" s="2">
        <f t="shared" si="6"/>
        <v>199</v>
      </c>
      <c r="E129" s="18">
        <f t="shared" si="7"/>
        <v>-79600000</v>
      </c>
      <c r="F129" s="2"/>
    </row>
    <row r="130" spans="1:6">
      <c r="A130" s="2" t="s">
        <v>6179</v>
      </c>
      <c r="B130" s="18">
        <v>600000</v>
      </c>
      <c r="C130" s="2">
        <v>5</v>
      </c>
      <c r="D130" s="2">
        <f t="shared" si="6"/>
        <v>188</v>
      </c>
      <c r="E130" s="18">
        <f t="shared" si="7"/>
        <v>112800000</v>
      </c>
      <c r="F130" s="2"/>
    </row>
    <row r="131" spans="1:6">
      <c r="A131" s="2" t="s">
        <v>6182</v>
      </c>
      <c r="B131" s="18">
        <v>-600000</v>
      </c>
      <c r="C131" s="2">
        <v>30</v>
      </c>
      <c r="D131" s="2">
        <f t="shared" ref="D131:D143" si="8">C131+D132</f>
        <v>183</v>
      </c>
      <c r="E131" s="18">
        <f t="shared" ref="E131:E143" si="9">B131*D131</f>
        <v>-109800000</v>
      </c>
      <c r="F131" s="2"/>
    </row>
    <row r="132" spans="1:6">
      <c r="A132" s="2" t="s">
        <v>6492</v>
      </c>
      <c r="B132" s="18">
        <v>650000</v>
      </c>
      <c r="C132" s="2">
        <v>4</v>
      </c>
      <c r="D132" s="2">
        <f t="shared" si="8"/>
        <v>153</v>
      </c>
      <c r="E132" s="18">
        <f t="shared" si="9"/>
        <v>99450000</v>
      </c>
      <c r="F132" s="2"/>
    </row>
    <row r="133" spans="1:6">
      <c r="A133" s="2" t="s">
        <v>6494</v>
      </c>
      <c r="B133" s="18">
        <v>-650000</v>
      </c>
      <c r="C133" s="2">
        <v>15</v>
      </c>
      <c r="D133" s="2">
        <f t="shared" si="8"/>
        <v>149</v>
      </c>
      <c r="E133" s="18">
        <f t="shared" si="9"/>
        <v>-96850000</v>
      </c>
      <c r="F133" s="2"/>
    </row>
    <row r="134" spans="1:6">
      <c r="A134" s="2" t="s">
        <v>6498</v>
      </c>
      <c r="B134" s="18">
        <v>700000</v>
      </c>
      <c r="C134" s="2">
        <v>6</v>
      </c>
      <c r="D134" s="2">
        <f t="shared" si="8"/>
        <v>134</v>
      </c>
      <c r="E134" s="18">
        <f t="shared" si="9"/>
        <v>93800000</v>
      </c>
      <c r="F134" s="2"/>
    </row>
    <row r="135" spans="1:6">
      <c r="A135" s="2" t="s">
        <v>6500</v>
      </c>
      <c r="B135" s="18">
        <v>-700000</v>
      </c>
      <c r="C135" s="2">
        <v>22</v>
      </c>
      <c r="D135" s="2">
        <f t="shared" si="8"/>
        <v>128</v>
      </c>
      <c r="E135" s="18">
        <f t="shared" si="9"/>
        <v>-89600000</v>
      </c>
      <c r="F135" s="2"/>
    </row>
    <row r="136" spans="1:6">
      <c r="A136" s="2" t="s">
        <v>6571</v>
      </c>
      <c r="B136" s="18">
        <v>1000000</v>
      </c>
      <c r="C136" s="2">
        <v>7</v>
      </c>
      <c r="D136" s="2">
        <f t="shared" si="8"/>
        <v>106</v>
      </c>
      <c r="E136" s="18">
        <f t="shared" si="9"/>
        <v>106000000</v>
      </c>
      <c r="F136" s="2"/>
    </row>
    <row r="137" spans="1:6">
      <c r="A137" s="2" t="s">
        <v>6586</v>
      </c>
      <c r="B137" s="18">
        <v>-1000000</v>
      </c>
      <c r="C137" s="2">
        <v>33</v>
      </c>
      <c r="D137" s="2">
        <f t="shared" si="8"/>
        <v>99</v>
      </c>
      <c r="E137" s="18">
        <f t="shared" si="9"/>
        <v>-99000000</v>
      </c>
      <c r="F137" s="2"/>
    </row>
    <row r="138" spans="1:6">
      <c r="A138" s="2" t="s">
        <v>6609</v>
      </c>
      <c r="B138" s="18">
        <v>2000000</v>
      </c>
      <c r="C138" s="2">
        <v>21</v>
      </c>
      <c r="D138" s="2">
        <f t="shared" si="8"/>
        <v>66</v>
      </c>
      <c r="E138" s="18">
        <f t="shared" si="9"/>
        <v>132000000</v>
      </c>
      <c r="F138" s="2"/>
    </row>
    <row r="139" spans="1:6">
      <c r="A139" s="2" t="s">
        <v>6613</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6616</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4924</v>
      </c>
    </row>
    <row r="88" spans="4:9">
      <c r="D88" s="18">
        <v>-100000</v>
      </c>
      <c r="E88" s="22" t="s">
        <v>4935</v>
      </c>
      <c r="I88" t="s">
        <v>25</v>
      </c>
    </row>
    <row r="89" spans="4:9">
      <c r="D89" s="18">
        <v>-250000</v>
      </c>
      <c r="E89" s="22" t="s">
        <v>4945</v>
      </c>
    </row>
    <row r="90" spans="4:9">
      <c r="D90" s="18">
        <v>-45000</v>
      </c>
      <c r="E90" s="22" t="s">
        <v>4968</v>
      </c>
    </row>
    <row r="91" spans="4:9">
      <c r="D91" s="18">
        <v>3000000</v>
      </c>
      <c r="E91" s="22" t="s">
        <v>4969</v>
      </c>
      <c r="I91" t="s">
        <v>25</v>
      </c>
    </row>
    <row r="92" spans="4:9">
      <c r="D92" s="18">
        <v>-550000</v>
      </c>
      <c r="E92" s="22" t="s">
        <v>4970</v>
      </c>
    </row>
    <row r="93" spans="4:9">
      <c r="D93" s="18">
        <v>-200000</v>
      </c>
      <c r="E93" s="22" t="s">
        <v>4982</v>
      </c>
      <c r="G93" t="s">
        <v>25</v>
      </c>
    </row>
    <row r="94" spans="4:9">
      <c r="D94" s="18">
        <v>-30500</v>
      </c>
      <c r="E94" s="22" t="s">
        <v>4983</v>
      </c>
    </row>
    <row r="95" spans="4:9">
      <c r="D95" s="18">
        <v>2500000</v>
      </c>
      <c r="E95" s="22" t="s">
        <v>5015</v>
      </c>
      <c r="I95" t="s">
        <v>25</v>
      </c>
    </row>
    <row r="96" spans="4:9">
      <c r="D96" s="18">
        <v>-230000</v>
      </c>
      <c r="E96" s="22" t="s">
        <v>5021</v>
      </c>
    </row>
    <row r="97" spans="4:10">
      <c r="D97" s="18">
        <v>-168950</v>
      </c>
      <c r="E97" s="22" t="s">
        <v>4286</v>
      </c>
      <c r="J97" t="s">
        <v>25</v>
      </c>
    </row>
    <row r="98" spans="4:10">
      <c r="D98" s="18">
        <v>-250000</v>
      </c>
      <c r="E98" s="22" t="s">
        <v>5032</v>
      </c>
    </row>
    <row r="99" spans="4:10">
      <c r="D99" s="18">
        <v>500000</v>
      </c>
      <c r="E99" s="22" t="s">
        <v>5043</v>
      </c>
    </row>
    <row r="100" spans="4:10">
      <c r="D100" s="18">
        <v>-520000</v>
      </c>
      <c r="E100" s="22" t="s">
        <v>5042</v>
      </c>
      <c r="J100" t="s">
        <v>25</v>
      </c>
    </row>
    <row r="101" spans="4:10">
      <c r="D101" s="18">
        <v>500000</v>
      </c>
      <c r="E101" s="22" t="s">
        <v>5053</v>
      </c>
    </row>
    <row r="102" spans="4:10">
      <c r="D102" s="18">
        <v>-200000</v>
      </c>
      <c r="E102" s="22" t="s">
        <v>5057</v>
      </c>
    </row>
    <row r="103" spans="4:10">
      <c r="D103" s="18">
        <v>-300000</v>
      </c>
      <c r="E103" s="22" t="s">
        <v>5058</v>
      </c>
    </row>
    <row r="104" spans="4:10">
      <c r="D104" s="18">
        <v>-530000</v>
      </c>
      <c r="E104" s="22" t="s">
        <v>5076</v>
      </c>
    </row>
    <row r="105" spans="4:10">
      <c r="D105" s="18">
        <v>-550000</v>
      </c>
      <c r="E105" s="22" t="s">
        <v>5078</v>
      </c>
    </row>
    <row r="106" spans="4:10">
      <c r="D106" s="18">
        <v>-200000</v>
      </c>
      <c r="E106" s="22" t="s">
        <v>5100</v>
      </c>
    </row>
    <row r="107" spans="4:10">
      <c r="D107" s="18">
        <v>-1600000</v>
      </c>
      <c r="E107" s="22" t="s">
        <v>5102</v>
      </c>
      <c r="G107" t="s">
        <v>25</v>
      </c>
    </row>
    <row r="108" spans="4:10">
      <c r="D108" s="18">
        <v>1600000</v>
      </c>
      <c r="E108" s="22" t="s">
        <v>5106</v>
      </c>
    </row>
    <row r="109" spans="4:10">
      <c r="D109" s="18">
        <v>-550000</v>
      </c>
      <c r="E109" s="22" t="s">
        <v>5108</v>
      </c>
    </row>
    <row r="110" spans="4:10">
      <c r="D110" s="18">
        <v>-15000</v>
      </c>
      <c r="E110" s="22" t="s">
        <v>5113</v>
      </c>
    </row>
    <row r="111" spans="4:10">
      <c r="D111" s="18">
        <v>-325000</v>
      </c>
      <c r="E111" s="22" t="s">
        <v>5126</v>
      </c>
    </row>
    <row r="112" spans="4:10">
      <c r="D112" s="18">
        <v>-130000</v>
      </c>
      <c r="E112" s="22" t="s">
        <v>5127</v>
      </c>
    </row>
    <row r="113" spans="4:10">
      <c r="D113" s="18">
        <v>-250000</v>
      </c>
      <c r="E113" s="22" t="s">
        <v>5135</v>
      </c>
      <c r="J113" t="s">
        <v>25</v>
      </c>
    </row>
    <row r="114" spans="4:10">
      <c r="D114" s="18">
        <v>-750000</v>
      </c>
      <c r="E114" s="22" t="s">
        <v>5138</v>
      </c>
    </row>
    <row r="115" spans="4:10">
      <c r="D115" s="18">
        <v>250000</v>
      </c>
      <c r="E115" s="22" t="s">
        <v>5144</v>
      </c>
    </row>
    <row r="116" spans="4:10">
      <c r="D116" s="18">
        <v>-2100000</v>
      </c>
      <c r="E116" s="22" t="s">
        <v>5156</v>
      </c>
    </row>
    <row r="117" spans="4:10">
      <c r="D117" s="18">
        <v>-1000000</v>
      </c>
      <c r="E117" s="22" t="s">
        <v>5164</v>
      </c>
    </row>
    <row r="118" spans="4:10">
      <c r="D118" s="18">
        <v>-100000</v>
      </c>
      <c r="E118" s="22" t="s">
        <v>5165</v>
      </c>
    </row>
    <row r="119" spans="4:10">
      <c r="D119" s="18">
        <v>-550000</v>
      </c>
      <c r="E119" s="22" t="s">
        <v>5195</v>
      </c>
    </row>
    <row r="120" spans="4:10">
      <c r="D120" s="18">
        <v>-550000</v>
      </c>
      <c r="E120" s="22" t="s">
        <v>5196</v>
      </c>
    </row>
    <row r="121" spans="4:10">
      <c r="D121" s="18">
        <v>-390000</v>
      </c>
      <c r="E121" s="22" t="s">
        <v>5218</v>
      </c>
      <c r="H121" t="s">
        <v>25</v>
      </c>
      <c r="J121" t="s">
        <v>25</v>
      </c>
    </row>
    <row r="122" spans="4:10">
      <c r="D122" s="18">
        <v>2432520</v>
      </c>
      <c r="E122" s="22" t="s">
        <v>5219</v>
      </c>
    </row>
    <row r="123" spans="4:10">
      <c r="D123" s="18">
        <v>8000000</v>
      </c>
      <c r="E123" s="22" t="s">
        <v>5232</v>
      </c>
    </row>
    <row r="124" spans="4:10">
      <c r="D124" s="18">
        <v>-83930</v>
      </c>
      <c r="E124" s="22" t="s">
        <v>5241</v>
      </c>
    </row>
    <row r="125" spans="4:10">
      <c r="D125" s="18">
        <v>1000000</v>
      </c>
      <c r="E125" s="22" t="s">
        <v>5269</v>
      </c>
    </row>
    <row r="126" spans="4:10">
      <c r="D126" s="18">
        <v>-1333333</v>
      </c>
      <c r="E126" s="22" t="s">
        <v>5270</v>
      </c>
      <c r="J126" t="s">
        <v>25</v>
      </c>
    </row>
    <row r="127" spans="4:10">
      <c r="D127" s="18">
        <v>-1050000</v>
      </c>
      <c r="E127" s="22" t="s">
        <v>5285</v>
      </c>
    </row>
    <row r="128" spans="4:10">
      <c r="D128" s="18">
        <v>-2000000</v>
      </c>
      <c r="E128" s="22" t="s">
        <v>5291</v>
      </c>
      <c r="I128" t="s">
        <v>25</v>
      </c>
    </row>
    <row r="129" spans="4:5">
      <c r="D129" s="18">
        <v>-250000</v>
      </c>
      <c r="E129" s="22" t="s">
        <v>5299</v>
      </c>
    </row>
    <row r="130" spans="4:5">
      <c r="D130" s="18">
        <v>-550000</v>
      </c>
      <c r="E130" s="22" t="s">
        <v>5303</v>
      </c>
    </row>
    <row r="131" spans="4:5">
      <c r="D131" s="18">
        <v>210000</v>
      </c>
      <c r="E131" s="22" t="s">
        <v>5304</v>
      </c>
    </row>
    <row r="132" spans="4:5">
      <c r="D132" s="18">
        <v>-724200</v>
      </c>
      <c r="E132" s="22" t="s">
        <v>5319</v>
      </c>
    </row>
    <row r="133" spans="4:5">
      <c r="D133" s="18">
        <v>-400000</v>
      </c>
      <c r="E133" s="22" t="s">
        <v>5329</v>
      </c>
    </row>
    <row r="134" spans="4:5">
      <c r="D134" s="18">
        <v>-550000</v>
      </c>
      <c r="E134" s="22" t="s">
        <v>5337</v>
      </c>
    </row>
    <row r="135" spans="4:5">
      <c r="D135" s="18">
        <v>-2167000</v>
      </c>
      <c r="E135" s="22" t="s">
        <v>5340</v>
      </c>
    </row>
    <row r="136" spans="4:5">
      <c r="D136" s="18">
        <v>-125000</v>
      </c>
      <c r="E136" s="22" t="s">
        <v>5347</v>
      </c>
    </row>
    <row r="137" spans="4:5">
      <c r="D137" s="18">
        <v>-200000</v>
      </c>
      <c r="E137" s="22" t="s">
        <v>5354</v>
      </c>
    </row>
    <row r="138" spans="4:5">
      <c r="D138" s="18">
        <v>-2000000</v>
      </c>
      <c r="E138" s="22" t="s">
        <v>5365</v>
      </c>
    </row>
    <row r="139" spans="4:5">
      <c r="D139" s="18">
        <v>-1287000</v>
      </c>
      <c r="E139" s="22" t="s">
        <v>5371</v>
      </c>
    </row>
    <row r="140" spans="4:5">
      <c r="D140" s="18">
        <v>-2000000</v>
      </c>
      <c r="E140" s="22" t="s">
        <v>5374</v>
      </c>
    </row>
    <row r="141" spans="4:5">
      <c r="D141" s="18">
        <v>-2500000</v>
      </c>
      <c r="E141" s="22" t="s">
        <v>5375</v>
      </c>
    </row>
    <row r="142" spans="4:5">
      <c r="D142" s="18">
        <v>-500000</v>
      </c>
      <c r="E142" s="22" t="s">
        <v>5389</v>
      </c>
    </row>
    <row r="143" spans="4:5">
      <c r="D143" s="18">
        <v>-83930</v>
      </c>
      <c r="E143" s="22" t="s">
        <v>5397</v>
      </c>
    </row>
    <row r="144" spans="4:5">
      <c r="D144" s="18">
        <v>-550000</v>
      </c>
      <c r="E144" s="22" t="s">
        <v>5396</v>
      </c>
    </row>
    <row r="145" spans="4:9">
      <c r="D145" s="18">
        <v>-25000</v>
      </c>
      <c r="E145" s="22" t="s">
        <v>5405</v>
      </c>
      <c r="I145" t="s">
        <v>25</v>
      </c>
    </row>
    <row r="146" spans="4:9">
      <c r="D146" s="18">
        <v>-180000</v>
      </c>
      <c r="E146" s="22" t="s">
        <v>5441</v>
      </c>
      <c r="G146" t="s">
        <v>25</v>
      </c>
    </row>
    <row r="147" spans="4:9">
      <c r="D147" s="18">
        <v>-30000</v>
      </c>
      <c r="E147" s="22" t="s">
        <v>5440</v>
      </c>
    </row>
    <row r="148" spans="4:9">
      <c r="D148" s="18">
        <v>-47000</v>
      </c>
      <c r="E148" s="22" t="s">
        <v>5439</v>
      </c>
    </row>
    <row r="149" spans="4:9">
      <c r="D149" s="18">
        <v>-1000000</v>
      </c>
      <c r="E149" s="22" t="s">
        <v>5442</v>
      </c>
    </row>
    <row r="150" spans="4:9">
      <c r="D150" s="18">
        <v>-500000</v>
      </c>
      <c r="E150" s="22" t="s">
        <v>5453</v>
      </c>
    </row>
    <row r="151" spans="4:9">
      <c r="D151" s="18">
        <v>-5000000</v>
      </c>
      <c r="E151" s="22" t="s">
        <v>5456</v>
      </c>
    </row>
    <row r="152" spans="4:9">
      <c r="D152" s="18">
        <v>-200000</v>
      </c>
      <c r="E152" s="22" t="s">
        <v>5463</v>
      </c>
    </row>
    <row r="153" spans="4:9">
      <c r="D153" s="18">
        <v>-268000</v>
      </c>
      <c r="E153" s="22" t="s">
        <v>5484</v>
      </c>
      <c r="I153" t="s">
        <v>25</v>
      </c>
    </row>
    <row r="154" spans="4:9">
      <c r="D154" s="18">
        <v>-1800000</v>
      </c>
      <c r="E154" s="22" t="s">
        <v>5500</v>
      </c>
    </row>
    <row r="155" spans="4:9" ht="30">
      <c r="D155" s="18">
        <v>-3200000</v>
      </c>
      <c r="E155" s="22" t="s">
        <v>5501</v>
      </c>
      <c r="I155" t="s">
        <v>25</v>
      </c>
    </row>
    <row r="156" spans="4:9">
      <c r="D156" s="18">
        <v>-300000</v>
      </c>
      <c r="E156" s="22" t="s">
        <v>5509</v>
      </c>
    </row>
    <row r="157" spans="4:9">
      <c r="D157" s="18">
        <v>-1300000</v>
      </c>
      <c r="E157" s="22" t="s">
        <v>5510</v>
      </c>
    </row>
    <row r="158" spans="4:9">
      <c r="D158" s="18">
        <v>860000</v>
      </c>
      <c r="E158" s="22" t="s">
        <v>5524</v>
      </c>
    </row>
    <row r="159" spans="4:9">
      <c r="D159" s="18">
        <v>-83900</v>
      </c>
      <c r="E159" s="22" t="s">
        <v>5532</v>
      </c>
      <c r="I159" t="s">
        <v>25</v>
      </c>
    </row>
    <row r="160" spans="4:9">
      <c r="D160" s="18">
        <v>-3810000</v>
      </c>
      <c r="E160" s="22" t="s">
        <v>5543</v>
      </c>
      <c r="H160" t="s">
        <v>25</v>
      </c>
    </row>
    <row r="161" spans="4:11">
      <c r="D161" s="18">
        <v>30000000</v>
      </c>
      <c r="E161" s="22" t="s">
        <v>5633</v>
      </c>
      <c r="I161" t="s">
        <v>25</v>
      </c>
    </row>
    <row r="162" spans="4:11">
      <c r="D162" s="18">
        <v>50000000</v>
      </c>
      <c r="E162" s="22" t="s">
        <v>5642</v>
      </c>
    </row>
    <row r="163" spans="4:11">
      <c r="D163" s="18">
        <v>-19100000</v>
      </c>
      <c r="E163" s="22" t="s">
        <v>5641</v>
      </c>
    </row>
    <row r="164" spans="4:11">
      <c r="D164" s="18">
        <v>1470000</v>
      </c>
      <c r="E164" s="22" t="s">
        <v>6172</v>
      </c>
      <c r="I164" t="s">
        <v>25</v>
      </c>
    </row>
    <row r="165" spans="4:11">
      <c r="D165" s="18">
        <v>-2540000</v>
      </c>
      <c r="E165" s="22" t="s">
        <v>6173</v>
      </c>
      <c r="K165" t="s">
        <v>25</v>
      </c>
    </row>
    <row r="166" spans="4:11">
      <c r="D166" s="18">
        <v>-1040000</v>
      </c>
      <c r="E166" s="22" t="s">
        <v>6174</v>
      </c>
    </row>
    <row r="167" spans="4:11">
      <c r="D167" s="18">
        <v>-50252149</v>
      </c>
      <c r="E167" s="22" t="s">
        <v>6180</v>
      </c>
    </row>
    <row r="168" spans="4:11">
      <c r="D168" s="18">
        <v>-1500000</v>
      </c>
      <c r="E168" s="22" t="s">
        <v>6466</v>
      </c>
    </row>
    <row r="169" spans="4:11">
      <c r="D169" s="18">
        <v>-2500000</v>
      </c>
      <c r="E169" s="22" t="s">
        <v>6467</v>
      </c>
      <c r="H169" t="s">
        <v>25</v>
      </c>
    </row>
    <row r="170" spans="4:11">
      <c r="D170" s="18">
        <v>-2600000</v>
      </c>
      <c r="E170" s="22" t="s">
        <v>6471</v>
      </c>
    </row>
    <row r="171" spans="4:11">
      <c r="D171" s="18">
        <v>-2060000</v>
      </c>
      <c r="E171" s="22" t="s">
        <v>6513</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5550</v>
      </c>
      <c r="O19" t="s">
        <v>6645</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6677</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5990</v>
      </c>
      <c r="B1" s="208" t="s">
        <v>5988</v>
      </c>
      <c r="C1" s="28" t="s">
        <v>6000</v>
      </c>
      <c r="D1" s="170" t="s">
        <v>1034</v>
      </c>
      <c r="E1" s="28" t="s">
        <v>5989</v>
      </c>
      <c r="F1" s="2" t="s">
        <v>5636</v>
      </c>
      <c r="G1" s="2" t="s">
        <v>5999</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61" t="s">
        <v>528</v>
      </c>
      <c r="H28" s="361" t="s">
        <v>180</v>
      </c>
      <c r="I28" s="361" t="s">
        <v>527</v>
      </c>
      <c r="J28" s="361" t="s">
        <v>5376</v>
      </c>
    </row>
    <row r="29" spans="2:21">
      <c r="G29" s="361">
        <f t="shared" ref="G29:G52" si="5">$I$53-I29</f>
        <v>39000</v>
      </c>
      <c r="H29" s="361" t="s">
        <v>5160</v>
      </c>
      <c r="I29" s="361">
        <v>270000</v>
      </c>
      <c r="J29" s="361" t="s">
        <v>522</v>
      </c>
    </row>
    <row r="30" spans="2:21">
      <c r="G30" s="361">
        <f t="shared" si="5"/>
        <v>39000</v>
      </c>
      <c r="H30" s="361" t="s">
        <v>5160</v>
      </c>
      <c r="I30" s="361">
        <v>270000</v>
      </c>
      <c r="J30" s="361" t="s">
        <v>523</v>
      </c>
    </row>
    <row r="31" spans="2:21">
      <c r="G31" s="170">
        <f t="shared" si="5"/>
        <v>4900</v>
      </c>
      <c r="H31" s="170" t="s">
        <v>6777</v>
      </c>
      <c r="I31" s="170">
        <v>304100</v>
      </c>
      <c r="J31" s="170" t="s">
        <v>442</v>
      </c>
    </row>
    <row r="32" spans="2:21">
      <c r="G32" s="361">
        <f t="shared" si="5"/>
        <v>124000</v>
      </c>
      <c r="H32" s="403" t="s">
        <v>721</v>
      </c>
      <c r="I32" s="361">
        <v>185000</v>
      </c>
      <c r="J32" s="361" t="s">
        <v>517</v>
      </c>
    </row>
    <row r="33" spans="6:23">
      <c r="G33" s="361">
        <f t="shared" si="5"/>
        <v>25000</v>
      </c>
      <c r="H33" s="361" t="s">
        <v>6043</v>
      </c>
      <c r="I33" s="361">
        <v>284000</v>
      </c>
      <c r="J33" s="361" t="s">
        <v>524</v>
      </c>
    </row>
    <row r="34" spans="6:23">
      <c r="G34" s="361">
        <f t="shared" si="5"/>
        <v>25000</v>
      </c>
      <c r="H34" s="361" t="s">
        <v>6043</v>
      </c>
      <c r="I34" s="361">
        <v>284000</v>
      </c>
      <c r="J34" s="361" t="s">
        <v>525</v>
      </c>
    </row>
    <row r="35" spans="6:23">
      <c r="G35" s="361">
        <f t="shared" si="5"/>
        <v>4900</v>
      </c>
      <c r="H35" s="361" t="s">
        <v>6777</v>
      </c>
      <c r="I35" s="361">
        <v>304100</v>
      </c>
      <c r="J35" s="361" t="s">
        <v>526</v>
      </c>
    </row>
    <row r="36" spans="6:23">
      <c r="F36" t="s">
        <v>25</v>
      </c>
      <c r="G36" s="361">
        <f t="shared" si="5"/>
        <v>45000</v>
      </c>
      <c r="H36" s="361" t="s">
        <v>5202</v>
      </c>
      <c r="I36" s="361">
        <v>264000</v>
      </c>
      <c r="J36" s="361" t="s">
        <v>592</v>
      </c>
      <c r="O36" s="22"/>
    </row>
    <row r="37" spans="6:23">
      <c r="G37" s="361">
        <f t="shared" si="5"/>
        <v>11000</v>
      </c>
      <c r="H37" s="361" t="s">
        <v>6691</v>
      </c>
      <c r="I37" s="361">
        <v>298000</v>
      </c>
      <c r="J37" s="361" t="s">
        <v>601</v>
      </c>
    </row>
    <row r="38" spans="6:23">
      <c r="G38" s="361">
        <f t="shared" si="5"/>
        <v>84500</v>
      </c>
      <c r="H38" s="361" t="s">
        <v>657</v>
      </c>
      <c r="I38" s="361">
        <v>224500</v>
      </c>
      <c r="J38" s="361" t="s">
        <v>656</v>
      </c>
    </row>
    <row r="39" spans="6:23">
      <c r="G39" s="361">
        <f t="shared" si="5"/>
        <v>119000</v>
      </c>
      <c r="H39" s="361" t="s">
        <v>683</v>
      </c>
      <c r="I39" s="361">
        <v>190000</v>
      </c>
      <c r="J39" s="361" t="s">
        <v>682</v>
      </c>
    </row>
    <row r="40" spans="6:23">
      <c r="G40" s="361">
        <f t="shared" si="5"/>
        <v>4300</v>
      </c>
      <c r="H40" s="361" t="s">
        <v>6788</v>
      </c>
      <c r="I40" s="361">
        <v>304700</v>
      </c>
      <c r="J40" s="361" t="s">
        <v>680</v>
      </c>
    </row>
    <row r="41" spans="6:23">
      <c r="G41" s="361">
        <f t="shared" si="5"/>
        <v>8000</v>
      </c>
      <c r="H41" s="361" t="s">
        <v>6705</v>
      </c>
      <c r="I41" s="361">
        <v>301000</v>
      </c>
      <c r="J41" s="361" t="s">
        <v>715</v>
      </c>
      <c r="O41" s="46"/>
      <c r="Q41" s="46"/>
      <c r="R41" s="46"/>
      <c r="S41" s="7"/>
      <c r="T41" s="7"/>
      <c r="U41" s="7"/>
      <c r="V41" s="7"/>
      <c r="W41" s="7"/>
    </row>
    <row r="42" spans="6:23">
      <c r="G42" s="361">
        <f t="shared" si="5"/>
        <v>93000</v>
      </c>
      <c r="H42" s="361" t="s">
        <v>716</v>
      </c>
      <c r="I42" s="361">
        <v>216000</v>
      </c>
      <c r="J42" s="361" t="s">
        <v>717</v>
      </c>
      <c r="O42" s="46"/>
      <c r="Q42" s="46"/>
      <c r="R42" s="46"/>
      <c r="S42" s="7"/>
      <c r="T42" s="7"/>
      <c r="V42" s="7"/>
      <c r="W42" s="7"/>
    </row>
    <row r="43" spans="6:23">
      <c r="G43" s="361">
        <f t="shared" si="5"/>
        <v>82000</v>
      </c>
      <c r="H43" s="361" t="s">
        <v>738</v>
      </c>
      <c r="I43" s="361">
        <v>227000</v>
      </c>
      <c r="J43" s="361" t="s">
        <v>739</v>
      </c>
      <c r="Q43" s="7"/>
      <c r="S43" s="7"/>
    </row>
    <row r="44" spans="6:23">
      <c r="G44" s="361">
        <f t="shared" si="5"/>
        <v>80000</v>
      </c>
      <c r="H44" s="361" t="s">
        <v>799</v>
      </c>
      <c r="I44" s="361">
        <v>229000</v>
      </c>
      <c r="J44" s="361" t="s">
        <v>443</v>
      </c>
    </row>
    <row r="45" spans="6:23">
      <c r="G45" s="361">
        <f t="shared" si="5"/>
        <v>78000</v>
      </c>
      <c r="H45" s="361" t="s">
        <v>1021</v>
      </c>
      <c r="I45" s="361">
        <v>231000</v>
      </c>
      <c r="J45" s="361" t="s">
        <v>1020</v>
      </c>
      <c r="S45" s="7"/>
    </row>
    <row r="46" spans="6:23">
      <c r="G46" s="361">
        <f t="shared" si="5"/>
        <v>60800</v>
      </c>
      <c r="H46" s="361" t="s">
        <v>4599</v>
      </c>
      <c r="I46" s="361">
        <v>248200</v>
      </c>
      <c r="J46" s="361" t="s">
        <v>4608</v>
      </c>
    </row>
    <row r="47" spans="6:23">
      <c r="G47" s="361">
        <f t="shared" si="5"/>
        <v>52000</v>
      </c>
      <c r="H47" s="361" t="s">
        <v>4975</v>
      </c>
      <c r="I47" s="361">
        <v>257000</v>
      </c>
      <c r="J47" s="361" t="s">
        <v>5006</v>
      </c>
    </row>
    <row r="48" spans="6:23">
      <c r="G48" s="361">
        <f t="shared" si="5"/>
        <v>8000</v>
      </c>
      <c r="H48" s="361" t="s">
        <v>6726</v>
      </c>
      <c r="I48" s="361">
        <v>301000</v>
      </c>
      <c r="J48" s="361" t="s">
        <v>6148</v>
      </c>
    </row>
    <row r="49" spans="7:21">
      <c r="G49" s="361">
        <f t="shared" si="5"/>
        <v>5800</v>
      </c>
      <c r="H49" s="361" t="s">
        <v>6762</v>
      </c>
      <c r="I49" s="361">
        <v>303200</v>
      </c>
      <c r="J49" s="361" t="s">
        <v>5573</v>
      </c>
    </row>
    <row r="50" spans="7:21">
      <c r="G50" s="361">
        <f t="shared" si="5"/>
        <v>4300</v>
      </c>
      <c r="H50" s="361" t="s">
        <v>6788</v>
      </c>
      <c r="I50" s="361">
        <v>304700</v>
      </c>
      <c r="J50" s="361" t="s">
        <v>6782</v>
      </c>
      <c r="O50" t="s">
        <v>25</v>
      </c>
    </row>
    <row r="51" spans="7:21">
      <c r="G51" s="170">
        <f t="shared" si="5"/>
        <v>0</v>
      </c>
      <c r="H51" s="170" t="s">
        <v>6873</v>
      </c>
      <c r="I51" s="170">
        <v>309000</v>
      </c>
      <c r="J51" s="170" t="s">
        <v>6877</v>
      </c>
      <c r="Q51" s="46"/>
      <c r="S51" s="46"/>
      <c r="U51" s="7"/>
    </row>
    <row r="52" spans="7:21">
      <c r="G52" s="170">
        <f t="shared" si="5"/>
        <v>7000</v>
      </c>
      <c r="H52" s="170" t="s">
        <v>6879</v>
      </c>
      <c r="I52" s="170">
        <v>302000</v>
      </c>
      <c r="J52" s="170" t="s">
        <v>6878</v>
      </c>
      <c r="O52" s="45"/>
      <c r="Q52" s="46"/>
      <c r="S52" s="46"/>
      <c r="U52" s="7"/>
    </row>
    <row r="53" spans="7:21">
      <c r="G53" s="361"/>
      <c r="H53" s="361" t="s">
        <v>6765</v>
      </c>
      <c r="I53" s="361">
        <v>309000</v>
      </c>
      <c r="J53" s="361" t="s">
        <v>529</v>
      </c>
      <c r="M53" t="s">
        <v>25</v>
      </c>
      <c r="O53" s="45"/>
      <c r="Q53" s="46"/>
      <c r="S53" s="46"/>
    </row>
    <row r="54" spans="7:21">
      <c r="Q54" s="46"/>
      <c r="S54" s="46"/>
    </row>
    <row r="55" spans="7:21">
      <c r="Q55" s="46"/>
      <c r="S55" s="46"/>
      <c r="U55" s="7"/>
    </row>
    <row r="56" spans="7:21">
      <c r="Q56" s="46"/>
      <c r="S56" s="46"/>
    </row>
    <row r="57" spans="7:21">
      <c r="G57" s="361" t="s">
        <v>528</v>
      </c>
      <c r="H57" s="361" t="s">
        <v>180</v>
      </c>
      <c r="I57" s="361" t="s">
        <v>527</v>
      </c>
      <c r="J57" s="361" t="s">
        <v>5377</v>
      </c>
      <c r="Q57" s="46"/>
      <c r="S57" s="46"/>
    </row>
    <row r="58" spans="7:21">
      <c r="G58" s="361">
        <f>$I$81-I58</f>
        <v>34500</v>
      </c>
      <c r="H58" s="361" t="s">
        <v>5160</v>
      </c>
      <c r="I58" s="361">
        <v>38000</v>
      </c>
      <c r="J58" s="361" t="s">
        <v>522</v>
      </c>
      <c r="Q58" s="46"/>
      <c r="S58" s="46"/>
    </row>
    <row r="59" spans="7:21">
      <c r="G59" s="361">
        <f t="shared" ref="G59:G76" si="6">$I$81-I59</f>
        <v>34500</v>
      </c>
      <c r="H59" s="361" t="s">
        <v>5160</v>
      </c>
      <c r="I59" s="361">
        <v>38000</v>
      </c>
      <c r="J59" s="361" t="s">
        <v>523</v>
      </c>
      <c r="Q59" s="46"/>
      <c r="S59" s="46"/>
    </row>
    <row r="60" spans="7:21">
      <c r="G60" s="170">
        <f t="shared" si="6"/>
        <v>9500</v>
      </c>
      <c r="H60" s="170" t="s">
        <v>6760</v>
      </c>
      <c r="I60" s="170">
        <v>63000</v>
      </c>
      <c r="J60" s="170" t="s">
        <v>442</v>
      </c>
      <c r="Q60" s="46"/>
      <c r="S60" s="46"/>
    </row>
    <row r="61" spans="7:21">
      <c r="G61" s="361">
        <f t="shared" si="6"/>
        <v>42500</v>
      </c>
      <c r="H61" s="403" t="s">
        <v>721</v>
      </c>
      <c r="I61" s="361">
        <v>30000</v>
      </c>
      <c r="J61" s="361" t="s">
        <v>517</v>
      </c>
      <c r="Q61" s="46"/>
      <c r="S61" s="46"/>
    </row>
    <row r="62" spans="7:21">
      <c r="G62" s="361">
        <f t="shared" si="6"/>
        <v>9500</v>
      </c>
      <c r="H62" s="361" t="s">
        <v>6760</v>
      </c>
      <c r="I62" s="361">
        <v>63000</v>
      </c>
      <c r="J62" s="361" t="s">
        <v>524</v>
      </c>
      <c r="S62" s="46"/>
    </row>
    <row r="63" spans="7:21">
      <c r="G63" s="361">
        <f t="shared" si="6"/>
        <v>30000</v>
      </c>
      <c r="H63" s="361" t="s">
        <v>5546</v>
      </c>
      <c r="I63" s="361">
        <v>42500</v>
      </c>
      <c r="J63" s="361" t="s">
        <v>525</v>
      </c>
      <c r="S63" s="7"/>
    </row>
    <row r="64" spans="7:21">
      <c r="G64" s="361">
        <f t="shared" si="6"/>
        <v>9500</v>
      </c>
      <c r="H64" s="361" t="s">
        <v>6760</v>
      </c>
      <c r="I64" s="361">
        <v>63000</v>
      </c>
      <c r="J64" s="361" t="s">
        <v>526</v>
      </c>
      <c r="N64" t="s">
        <v>25</v>
      </c>
    </row>
    <row r="65" spans="7:17">
      <c r="G65" s="361">
        <f t="shared" si="6"/>
        <v>72500</v>
      </c>
      <c r="H65" s="361" t="s">
        <v>5202</v>
      </c>
      <c r="I65" s="361">
        <v>0</v>
      </c>
      <c r="J65" s="361" t="s">
        <v>592</v>
      </c>
    </row>
    <row r="66" spans="7:17">
      <c r="G66" s="361">
        <f t="shared" si="6"/>
        <v>22000</v>
      </c>
      <c r="H66" s="361" t="s">
        <v>6050</v>
      </c>
      <c r="I66" s="361">
        <v>50500</v>
      </c>
      <c r="J66" s="361" t="s">
        <v>601</v>
      </c>
    </row>
    <row r="67" spans="7:17">
      <c r="G67" s="361">
        <f t="shared" si="6"/>
        <v>72500</v>
      </c>
      <c r="H67" s="361" t="s">
        <v>657</v>
      </c>
      <c r="I67" s="361">
        <v>0</v>
      </c>
      <c r="J67" s="361" t="s">
        <v>656</v>
      </c>
    </row>
    <row r="68" spans="7:17">
      <c r="G68" s="361">
        <f t="shared" si="6"/>
        <v>72500</v>
      </c>
      <c r="H68" s="361" t="s">
        <v>683</v>
      </c>
      <c r="I68" s="361">
        <v>0</v>
      </c>
      <c r="J68" s="361" t="s">
        <v>682</v>
      </c>
      <c r="M68" t="s">
        <v>25</v>
      </c>
    </row>
    <row r="69" spans="7:17">
      <c r="G69" s="361">
        <f t="shared" si="6"/>
        <v>72500</v>
      </c>
      <c r="H69" s="361" t="s">
        <v>681</v>
      </c>
      <c r="I69" s="361">
        <v>0</v>
      </c>
      <c r="J69" s="361" t="s">
        <v>680</v>
      </c>
    </row>
    <row r="70" spans="7:17">
      <c r="G70" s="361">
        <f t="shared" si="6"/>
        <v>72500</v>
      </c>
      <c r="H70" s="361" t="s">
        <v>1021</v>
      </c>
      <c r="I70" s="361">
        <v>0</v>
      </c>
      <c r="J70" s="361" t="s">
        <v>715</v>
      </c>
    </row>
    <row r="71" spans="7:17">
      <c r="G71" s="361">
        <f t="shared" si="6"/>
        <v>22000</v>
      </c>
      <c r="H71" s="361" t="s">
        <v>6050</v>
      </c>
      <c r="I71" s="361">
        <v>50500</v>
      </c>
      <c r="J71" s="361" t="s">
        <v>6148</v>
      </c>
    </row>
    <row r="72" spans="7:17">
      <c r="G72" s="361">
        <f t="shared" si="6"/>
        <v>72500</v>
      </c>
      <c r="H72" s="361" t="s">
        <v>738</v>
      </c>
      <c r="I72" s="361">
        <v>0</v>
      </c>
      <c r="J72" s="361" t="s">
        <v>739</v>
      </c>
    </row>
    <row r="73" spans="7:17">
      <c r="G73" s="361">
        <f t="shared" si="6"/>
        <v>72500</v>
      </c>
      <c r="H73" s="361" t="s">
        <v>799</v>
      </c>
      <c r="I73" s="361">
        <v>0</v>
      </c>
      <c r="J73" s="361" t="s">
        <v>443</v>
      </c>
      <c r="M73" t="s">
        <v>25</v>
      </c>
    </row>
    <row r="74" spans="7:17">
      <c r="G74" s="361">
        <f t="shared" si="6"/>
        <v>0</v>
      </c>
      <c r="H74" s="361" t="s">
        <v>6876</v>
      </c>
      <c r="I74" s="361">
        <v>72500</v>
      </c>
      <c r="J74" s="361" t="s">
        <v>1020</v>
      </c>
    </row>
    <row r="75" spans="7:17">
      <c r="G75" s="361">
        <f t="shared" si="6"/>
        <v>72500</v>
      </c>
      <c r="H75" s="361" t="s">
        <v>4599</v>
      </c>
      <c r="I75" s="361">
        <v>0</v>
      </c>
      <c r="J75" s="361" t="s">
        <v>4608</v>
      </c>
    </row>
    <row r="76" spans="7:17">
      <c r="G76" s="361">
        <f t="shared" si="6"/>
        <v>72500</v>
      </c>
      <c r="H76" s="361" t="s">
        <v>4975</v>
      </c>
      <c r="I76" s="361">
        <v>0</v>
      </c>
      <c r="J76" s="361" t="s">
        <v>5006</v>
      </c>
      <c r="N76" t="s">
        <v>25</v>
      </c>
    </row>
    <row r="77" spans="7:17">
      <c r="G77" s="361">
        <f>$I$81-I77</f>
        <v>9500</v>
      </c>
      <c r="H77" s="361" t="s">
        <v>6760</v>
      </c>
      <c r="I77" s="361">
        <v>63000</v>
      </c>
      <c r="J77" s="361" t="s">
        <v>6761</v>
      </c>
    </row>
    <row r="78" spans="7:17">
      <c r="G78" s="361">
        <f>$I$81-I78</f>
        <v>6500</v>
      </c>
      <c r="H78" s="361" t="s">
        <v>6781</v>
      </c>
      <c r="I78" s="361">
        <v>66000</v>
      </c>
      <c r="J78" s="361" t="s">
        <v>6782</v>
      </c>
      <c r="Q78" s="402"/>
    </row>
    <row r="79" spans="7:17">
      <c r="G79" s="170"/>
      <c r="H79" s="170" t="s">
        <v>6880</v>
      </c>
      <c r="I79" s="170"/>
      <c r="J79" s="170" t="s">
        <v>6877</v>
      </c>
    </row>
    <row r="80" spans="7:17">
      <c r="G80" s="170"/>
      <c r="H80" s="170" t="s">
        <v>6881</v>
      </c>
      <c r="I80" s="170"/>
      <c r="J80" s="170" t="s">
        <v>6878</v>
      </c>
    </row>
    <row r="81" spans="7:10">
      <c r="G81" s="361"/>
      <c r="H81" s="361" t="s">
        <v>6600</v>
      </c>
      <c r="I81" s="361">
        <v>72500</v>
      </c>
      <c r="J81" s="361"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D144"/>
  <sheetViews>
    <sheetView zoomScale="85" zoomScaleNormal="85" workbookViewId="0">
      <selection activeCell="D14" sqref="D14"/>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1990</v>
      </c>
      <c r="C5" s="11"/>
      <c r="D5" s="11"/>
      <c r="F5" s="80">
        <v>0.2</v>
      </c>
      <c r="G5" s="80">
        <v>0.46</v>
      </c>
      <c r="I5" s="11"/>
      <c r="J5" s="11"/>
      <c r="L5" s="11" t="s">
        <v>3620</v>
      </c>
      <c r="M5" s="11">
        <v>6150</v>
      </c>
    </row>
    <row r="6" spans="1:13" ht="20.25" customHeight="1">
      <c r="A6" s="11" t="s">
        <v>1034</v>
      </c>
      <c r="B6" s="11">
        <v>54000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25296799.421221863</v>
      </c>
      <c r="C8" s="11">
        <f>B2*B4*B5/(B1*B3)+B7/B6</f>
        <v>468.4592485411456</v>
      </c>
      <c r="D8" s="11" t="s">
        <v>4146</v>
      </c>
      <c r="I8" s="11" t="s">
        <v>3795</v>
      </c>
      <c r="J8" s="11" t="s">
        <v>3592</v>
      </c>
      <c r="L8" s="11"/>
      <c r="M8" s="11"/>
    </row>
    <row r="9" spans="1:13">
      <c r="A9" s="11" t="s">
        <v>4144</v>
      </c>
      <c r="B9" s="26">
        <v>34000000</v>
      </c>
      <c r="C9" s="11"/>
      <c r="D9" s="11"/>
      <c r="I9" s="11" t="s">
        <v>3602</v>
      </c>
      <c r="J9" s="11" t="s">
        <v>3603</v>
      </c>
      <c r="L9" s="11"/>
      <c r="M9" s="11"/>
    </row>
    <row r="10" spans="1:13">
      <c r="A10" s="11" t="s">
        <v>4145</v>
      </c>
      <c r="B10" s="26">
        <f>B9-B8</f>
        <v>8703200.5787781365</v>
      </c>
      <c r="C10" s="11">
        <f>B10*100/B8</f>
        <v>34.404354613638958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63" t="s">
        <v>1007</v>
      </c>
      <c r="R21" s="563"/>
      <c r="S21" s="563"/>
      <c r="T21" s="563"/>
      <c r="W21" s="36" t="s">
        <v>4822</v>
      </c>
      <c r="X21" s="36">
        <v>9035210431</v>
      </c>
      <c r="Y21" s="36">
        <v>50</v>
      </c>
      <c r="Z21" s="36" t="s">
        <v>5083</v>
      </c>
      <c r="AA21" t="s">
        <v>4840</v>
      </c>
    </row>
    <row r="22" spans="5:30">
      <c r="O22" s="11"/>
      <c r="P22" s="11"/>
      <c r="Q22" s="563"/>
      <c r="R22" s="563"/>
      <c r="S22" s="563"/>
      <c r="T22" s="563"/>
      <c r="W22" s="36" t="s">
        <v>4908</v>
      </c>
      <c r="X22" s="36">
        <v>9909620343</v>
      </c>
      <c r="Y22" s="36">
        <v>200</v>
      </c>
      <c r="Z22" s="36" t="s">
        <v>5084</v>
      </c>
      <c r="AA22" t="s">
        <v>5087</v>
      </c>
      <c r="AB22" s="36" t="s">
        <v>5095</v>
      </c>
    </row>
    <row r="23" spans="5:30" ht="15.75">
      <c r="O23" s="123"/>
      <c r="P23" s="11" t="s">
        <v>3997</v>
      </c>
      <c r="Q23" s="564" t="s">
        <v>1008</v>
      </c>
      <c r="R23" s="565" t="s">
        <v>1009</v>
      </c>
      <c r="S23" s="564" t="s">
        <v>1010</v>
      </c>
      <c r="T23" s="566" t="s">
        <v>1011</v>
      </c>
      <c r="W23" s="36" t="s">
        <v>4909</v>
      </c>
      <c r="X23" s="36">
        <v>9378807702</v>
      </c>
      <c r="Y23" s="36">
        <v>0</v>
      </c>
      <c r="Z23" s="36">
        <v>0</v>
      </c>
      <c r="AD23" t="s">
        <v>25</v>
      </c>
    </row>
    <row r="24" spans="5:30">
      <c r="O24" s="11"/>
      <c r="P24" s="11"/>
      <c r="Q24" s="564"/>
      <c r="R24" s="565"/>
      <c r="S24" s="564"/>
      <c r="T24" s="566"/>
      <c r="W24" s="36" t="s">
        <v>4930</v>
      </c>
      <c r="X24" s="36"/>
      <c r="Y24" s="36">
        <v>200</v>
      </c>
      <c r="Z24" s="36" t="s">
        <v>4380</v>
      </c>
      <c r="AA24" t="s">
        <v>4942</v>
      </c>
      <c r="AB24" t="s">
        <v>4990</v>
      </c>
    </row>
    <row r="25" spans="5:30">
      <c r="O25" s="119" t="s">
        <v>4041</v>
      </c>
      <c r="P25" s="119">
        <v>2182188507</v>
      </c>
      <c r="Q25" s="120" t="s">
        <v>1012</v>
      </c>
      <c r="R25" s="120" t="s">
        <v>3998</v>
      </c>
      <c r="S25" s="120" t="s">
        <v>4003</v>
      </c>
      <c r="T25" s="120" t="s">
        <v>1013</v>
      </c>
      <c r="W25" s="36" t="s">
        <v>4947</v>
      </c>
      <c r="X25" s="36">
        <v>9013075723</v>
      </c>
      <c r="Y25" s="36">
        <v>100</v>
      </c>
      <c r="Z25" s="36" t="s">
        <v>5083</v>
      </c>
      <c r="AA25" t="s">
        <v>5011</v>
      </c>
    </row>
    <row r="26" spans="5:30" ht="30">
      <c r="O26" s="119"/>
      <c r="P26" s="119">
        <v>2123095122</v>
      </c>
      <c r="Q26" s="121" t="s">
        <v>1014</v>
      </c>
      <c r="R26" s="121" t="s">
        <v>1015</v>
      </c>
      <c r="S26" s="121" t="s">
        <v>1016</v>
      </c>
      <c r="T26" s="121" t="s">
        <v>1017</v>
      </c>
      <c r="W26" s="36" t="s">
        <v>5085</v>
      </c>
      <c r="X26" s="36">
        <v>9214923916</v>
      </c>
      <c r="Y26" s="36">
        <v>100</v>
      </c>
      <c r="Z26" s="36" t="s">
        <v>4380</v>
      </c>
      <c r="AA26" s="142" t="s">
        <v>5079</v>
      </c>
    </row>
    <row r="27" spans="5:30" ht="30">
      <c r="O27" s="119" t="s">
        <v>4095</v>
      </c>
      <c r="P27" s="119">
        <v>2188831909</v>
      </c>
      <c r="Q27" s="11" t="s">
        <v>4000</v>
      </c>
      <c r="R27" s="11" t="s">
        <v>4001</v>
      </c>
      <c r="S27" s="11" t="s">
        <v>4002</v>
      </c>
      <c r="T27" s="122" t="s">
        <v>4004</v>
      </c>
      <c r="W27" s="36" t="s">
        <v>5086</v>
      </c>
      <c r="X27" s="36" t="s">
        <v>5134</v>
      </c>
      <c r="Y27" s="36">
        <v>80</v>
      </c>
      <c r="Z27" s="36" t="s">
        <v>5083</v>
      </c>
      <c r="AA27" s="142" t="s">
        <v>5079</v>
      </c>
    </row>
    <row r="28" spans="5:30" ht="60">
      <c r="E28" t="s">
        <v>25</v>
      </c>
      <c r="T28" s="22" t="s">
        <v>3991</v>
      </c>
      <c r="W28" s="36" t="s">
        <v>5387</v>
      </c>
      <c r="X28" s="36">
        <v>9373349244</v>
      </c>
      <c r="Y28" s="36" t="s">
        <v>6784</v>
      </c>
      <c r="Z28" s="36" t="s">
        <v>5388</v>
      </c>
      <c r="AA28" t="s">
        <v>5382</v>
      </c>
      <c r="AB28" s="36" t="s">
        <v>5437</v>
      </c>
    </row>
    <row r="29" spans="5:30">
      <c r="W29" s="36" t="s">
        <v>5411</v>
      </c>
      <c r="X29" s="36">
        <v>9332154549</v>
      </c>
      <c r="Y29" s="36">
        <v>260</v>
      </c>
      <c r="Z29" s="36" t="s">
        <v>5388</v>
      </c>
      <c r="AA29" t="s">
        <v>5410</v>
      </c>
      <c r="AB29" s="36" t="s">
        <v>5577</v>
      </c>
    </row>
    <row r="30" spans="5:30">
      <c r="W30" s="36" t="s">
        <v>5576</v>
      </c>
      <c r="X30" s="36">
        <v>9944625742</v>
      </c>
      <c r="Y30" s="36">
        <v>120</v>
      </c>
      <c r="Z30" s="36" t="s">
        <v>4380</v>
      </c>
      <c r="AA30" t="s">
        <v>5565</v>
      </c>
    </row>
    <row r="31" spans="5:30">
      <c r="W31" s="36" t="s">
        <v>6149</v>
      </c>
      <c r="X31" s="36">
        <v>9199190185</v>
      </c>
      <c r="Y31" s="36" t="s">
        <v>6785</v>
      </c>
      <c r="Z31" s="36" t="s">
        <v>5083</v>
      </c>
      <c r="AA31" t="s">
        <v>6004</v>
      </c>
      <c r="AB31" s="36" t="s">
        <v>6783</v>
      </c>
    </row>
    <row r="32" spans="5:30">
      <c r="W32" s="36" t="s">
        <v>6501</v>
      </c>
      <c r="Z32" s="36" t="s">
        <v>5083</v>
      </c>
      <c r="AA32" t="s">
        <v>6502</v>
      </c>
    </row>
    <row r="33" spans="23:27">
      <c r="W33" s="36" t="s">
        <v>6503</v>
      </c>
      <c r="X33" s="36">
        <v>9304634309</v>
      </c>
      <c r="Y33" s="36">
        <v>150</v>
      </c>
      <c r="Z33" s="36" t="s">
        <v>6504</v>
      </c>
      <c r="AA33" t="s">
        <v>6500</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4949</v>
      </c>
      <c r="B312" s="3">
        <v>-8500</v>
      </c>
      <c r="C312" s="11">
        <v>1</v>
      </c>
      <c r="D312" s="11">
        <f t="shared" si="15"/>
        <v>295</v>
      </c>
      <c r="E312" s="11">
        <f t="shared" si="16"/>
        <v>0</v>
      </c>
      <c r="F312" s="11">
        <f t="shared" si="9"/>
        <v>-2507500</v>
      </c>
      <c r="G312" s="11"/>
    </row>
    <row r="313" spans="1:11">
      <c r="A313" s="11" t="s">
        <v>4929</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4925</v>
      </c>
      <c r="B315" s="3">
        <v>-331250</v>
      </c>
      <c r="C315" s="11">
        <v>2</v>
      </c>
      <c r="D315" s="11">
        <f t="shared" si="15"/>
        <v>292</v>
      </c>
      <c r="E315" s="11">
        <f t="shared" si="16"/>
        <v>0</v>
      </c>
      <c r="F315" s="11">
        <f t="shared" si="17"/>
        <v>-96725000</v>
      </c>
      <c r="G315" s="11"/>
    </row>
    <row r="316" spans="1:11">
      <c r="A316" s="11" t="s">
        <v>4950</v>
      </c>
      <c r="B316" s="3">
        <v>-39000</v>
      </c>
      <c r="C316" s="11">
        <v>1</v>
      </c>
      <c r="D316" s="11">
        <f t="shared" si="15"/>
        <v>290</v>
      </c>
      <c r="E316" s="11">
        <f t="shared" si="16"/>
        <v>0</v>
      </c>
      <c r="F316" s="11">
        <f t="shared" si="17"/>
        <v>-11310000</v>
      </c>
      <c r="G316" s="11"/>
      <c r="I316" s="7"/>
    </row>
    <row r="317" spans="1:11">
      <c r="A317" s="11" t="s">
        <v>4927</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4931</v>
      </c>
      <c r="B319" s="3">
        <v>-4000</v>
      </c>
      <c r="C319" s="11">
        <v>11</v>
      </c>
      <c r="D319" s="11">
        <f t="shared" ref="D319:D326" si="18">D320+C319</f>
        <v>285</v>
      </c>
      <c r="E319" s="11">
        <f t="shared" ref="E319:E326" si="19">IF(B320&gt;0,1,0)</f>
        <v>1</v>
      </c>
      <c r="F319" s="11">
        <f t="shared" si="17"/>
        <v>-1136000</v>
      </c>
      <c r="G319" s="11"/>
    </row>
    <row r="320" spans="1:11">
      <c r="A320" s="11" t="s">
        <v>4951</v>
      </c>
      <c r="B320" s="3">
        <v>6300000</v>
      </c>
      <c r="C320" s="11">
        <v>1</v>
      </c>
      <c r="D320" s="11">
        <f t="shared" si="18"/>
        <v>274</v>
      </c>
      <c r="E320" s="11">
        <f t="shared" si="19"/>
        <v>0</v>
      </c>
      <c r="F320" s="11">
        <f t="shared" si="17"/>
        <v>1726200000</v>
      </c>
      <c r="G320" s="11"/>
    </row>
    <row r="321" spans="1:9">
      <c r="A321" s="11" t="s">
        <v>4973</v>
      </c>
      <c r="B321" s="3">
        <v>-6000000</v>
      </c>
      <c r="C321" s="11">
        <v>2</v>
      </c>
      <c r="D321" s="11">
        <f t="shared" si="18"/>
        <v>273</v>
      </c>
      <c r="E321" s="11">
        <f t="shared" si="19"/>
        <v>0</v>
      </c>
      <c r="F321" s="11">
        <f t="shared" si="17"/>
        <v>-1638000000</v>
      </c>
      <c r="G321" s="11"/>
    </row>
    <row r="322" spans="1:9">
      <c r="A322" s="11" t="s">
        <v>4972</v>
      </c>
      <c r="B322" s="3">
        <v>-295000</v>
      </c>
      <c r="C322" s="11">
        <v>0</v>
      </c>
      <c r="D322" s="11">
        <f t="shared" si="18"/>
        <v>271</v>
      </c>
      <c r="E322" s="11">
        <f t="shared" si="19"/>
        <v>1</v>
      </c>
      <c r="F322" s="11">
        <f t="shared" si="17"/>
        <v>-79650000</v>
      </c>
      <c r="G322" s="11"/>
    </row>
    <row r="323" spans="1:9">
      <c r="A323" s="11" t="s">
        <v>4972</v>
      </c>
      <c r="B323" s="3">
        <v>483</v>
      </c>
      <c r="C323" s="11">
        <v>8</v>
      </c>
      <c r="D323" s="11">
        <f t="shared" si="18"/>
        <v>271</v>
      </c>
      <c r="E323" s="11">
        <f t="shared" si="19"/>
        <v>1</v>
      </c>
      <c r="F323" s="11">
        <f t="shared" si="17"/>
        <v>130410</v>
      </c>
      <c r="G323" s="11" t="s">
        <v>643</v>
      </c>
      <c r="I323" t="s">
        <v>25</v>
      </c>
    </row>
    <row r="324" spans="1:9">
      <c r="A324" s="11" t="s">
        <v>4990</v>
      </c>
      <c r="B324" s="3">
        <v>1700000</v>
      </c>
      <c r="C324" s="11">
        <v>0</v>
      </c>
      <c r="D324" s="11">
        <f t="shared" si="18"/>
        <v>263</v>
      </c>
      <c r="E324" s="11">
        <f t="shared" si="19"/>
        <v>0</v>
      </c>
      <c r="F324" s="11">
        <f t="shared" si="17"/>
        <v>447100000</v>
      </c>
      <c r="G324" s="11"/>
    </row>
    <row r="325" spans="1:9">
      <c r="A325" s="11" t="s">
        <v>4990</v>
      </c>
      <c r="B325" s="3">
        <v>-53000</v>
      </c>
      <c r="C325" s="11">
        <v>1</v>
      </c>
      <c r="D325" s="11">
        <f t="shared" si="18"/>
        <v>263</v>
      </c>
      <c r="E325" s="11">
        <f t="shared" si="19"/>
        <v>0</v>
      </c>
      <c r="F325" s="11">
        <f t="shared" si="17"/>
        <v>-13939000</v>
      </c>
      <c r="G325" s="11"/>
    </row>
    <row r="326" spans="1:9">
      <c r="A326" s="11" t="s">
        <v>4991</v>
      </c>
      <c r="B326" s="3">
        <v>-1300000</v>
      </c>
      <c r="C326" s="11">
        <v>0</v>
      </c>
      <c r="D326" s="11">
        <f t="shared" si="18"/>
        <v>262</v>
      </c>
      <c r="E326" s="11">
        <f t="shared" si="19"/>
        <v>0</v>
      </c>
      <c r="F326" s="11">
        <f t="shared" si="17"/>
        <v>-340600000</v>
      </c>
      <c r="G326" s="11"/>
      <c r="I326" t="s">
        <v>25</v>
      </c>
    </row>
    <row r="327" spans="1:9">
      <c r="A327" s="11" t="s">
        <v>4991</v>
      </c>
      <c r="B327" s="3">
        <v>-41500</v>
      </c>
      <c r="C327" s="11">
        <v>1</v>
      </c>
      <c r="D327" s="11">
        <f t="shared" ref="D327:D333" si="20">D328+C327</f>
        <v>262</v>
      </c>
      <c r="E327" s="11">
        <f t="shared" ref="E327:E333" si="21">IF(B328&gt;0,1,0)</f>
        <v>0</v>
      </c>
      <c r="F327" s="11">
        <f t="shared" si="17"/>
        <v>-10873000</v>
      </c>
      <c r="G327" s="11"/>
    </row>
    <row r="328" spans="1:9">
      <c r="A328" s="11" t="s">
        <v>4994</v>
      </c>
      <c r="B328" s="3">
        <v>-57700</v>
      </c>
      <c r="C328" s="11">
        <v>3</v>
      </c>
      <c r="D328" s="11">
        <f t="shared" si="20"/>
        <v>261</v>
      </c>
      <c r="E328" s="11">
        <f t="shared" si="21"/>
        <v>0</v>
      </c>
      <c r="F328" s="11">
        <f t="shared" si="17"/>
        <v>-15059700</v>
      </c>
      <c r="G328" s="11"/>
    </row>
    <row r="329" spans="1:9">
      <c r="A329" s="11" t="s">
        <v>4997</v>
      </c>
      <c r="B329" s="3">
        <v>-5600</v>
      </c>
      <c r="C329" s="11">
        <v>1</v>
      </c>
      <c r="D329" s="11">
        <f t="shared" si="20"/>
        <v>258</v>
      </c>
      <c r="E329" s="11">
        <f t="shared" si="21"/>
        <v>0</v>
      </c>
      <c r="F329" s="11">
        <f t="shared" si="17"/>
        <v>-1444800</v>
      </c>
      <c r="G329" s="11"/>
    </row>
    <row r="330" spans="1:9">
      <c r="A330" s="11" t="s">
        <v>4998</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5007</v>
      </c>
      <c r="B333" s="3">
        <v>-78508</v>
      </c>
      <c r="C333" s="11">
        <v>2</v>
      </c>
      <c r="D333" s="11">
        <f t="shared" si="20"/>
        <v>253</v>
      </c>
      <c r="E333" s="11">
        <f t="shared" si="21"/>
        <v>0</v>
      </c>
      <c r="F333" s="11">
        <f>B333*(D333-E333)</f>
        <v>-19862524</v>
      </c>
      <c r="G333" s="11"/>
    </row>
    <row r="334" spans="1:9">
      <c r="A334" s="11" t="s">
        <v>5008</v>
      </c>
      <c r="B334" s="3">
        <v>-2000</v>
      </c>
      <c r="C334" s="11">
        <v>4</v>
      </c>
      <c r="D334" s="11">
        <f t="shared" ref="D334:D352" si="22">D335+C334</f>
        <v>251</v>
      </c>
      <c r="E334" s="11">
        <f t="shared" ref="E334:E352" si="23">IF(B335&gt;0,1,0)</f>
        <v>1</v>
      </c>
      <c r="F334" s="11">
        <f t="shared" ref="F334:F352" si="24">B334*(D334-E334)</f>
        <v>-500000</v>
      </c>
      <c r="G334" s="11"/>
    </row>
    <row r="335" spans="1:9">
      <c r="A335" s="11" t="s">
        <v>5011</v>
      </c>
      <c r="B335" s="3">
        <v>2200472</v>
      </c>
      <c r="C335" s="11">
        <v>1</v>
      </c>
      <c r="D335" s="11">
        <f t="shared" si="22"/>
        <v>247</v>
      </c>
      <c r="E335" s="11">
        <f t="shared" si="23"/>
        <v>0</v>
      </c>
      <c r="F335" s="11">
        <f t="shared" si="24"/>
        <v>543516584</v>
      </c>
      <c r="G335" s="11"/>
      <c r="H335" t="s">
        <v>25</v>
      </c>
    </row>
    <row r="336" spans="1:9">
      <c r="A336" s="11" t="s">
        <v>5017</v>
      </c>
      <c r="B336" s="3">
        <v>-28000</v>
      </c>
      <c r="C336" s="11">
        <v>2</v>
      </c>
      <c r="D336" s="11">
        <f t="shared" si="22"/>
        <v>246</v>
      </c>
      <c r="E336" s="11">
        <f t="shared" si="23"/>
        <v>1</v>
      </c>
      <c r="F336" s="11">
        <f t="shared" si="24"/>
        <v>-6860000</v>
      </c>
      <c r="G336" s="11"/>
    </row>
    <row r="337" spans="1:13">
      <c r="A337" s="11" t="s">
        <v>5016</v>
      </c>
      <c r="B337" s="3">
        <v>2500000</v>
      </c>
      <c r="C337" s="11">
        <v>0</v>
      </c>
      <c r="D337" s="11">
        <f t="shared" si="22"/>
        <v>244</v>
      </c>
      <c r="E337" s="11">
        <f t="shared" si="23"/>
        <v>0</v>
      </c>
      <c r="F337" s="11">
        <f t="shared" si="24"/>
        <v>610000000</v>
      </c>
      <c r="G337" s="11"/>
    </row>
    <row r="338" spans="1:13">
      <c r="A338" s="11" t="s">
        <v>5016</v>
      </c>
      <c r="B338" s="3">
        <v>-407500</v>
      </c>
      <c r="C338" s="11">
        <v>2</v>
      </c>
      <c r="D338" s="11">
        <f t="shared" si="22"/>
        <v>244</v>
      </c>
      <c r="E338" s="11">
        <f t="shared" si="23"/>
        <v>0</v>
      </c>
      <c r="F338" s="11">
        <f t="shared" si="24"/>
        <v>-99430000</v>
      </c>
      <c r="G338" s="11"/>
    </row>
    <row r="339" spans="1:13">
      <c r="A339" s="11" t="s">
        <v>5018</v>
      </c>
      <c r="B339" s="3">
        <v>-3600</v>
      </c>
      <c r="C339" s="11">
        <v>1</v>
      </c>
      <c r="D339" s="11">
        <f t="shared" si="22"/>
        <v>242</v>
      </c>
      <c r="E339" s="11">
        <f t="shared" si="23"/>
        <v>0</v>
      </c>
      <c r="F339" s="11">
        <f t="shared" si="24"/>
        <v>-871200</v>
      </c>
      <c r="G339" s="11"/>
    </row>
    <row r="340" spans="1:13">
      <c r="A340" s="11" t="s">
        <v>5022</v>
      </c>
      <c r="B340" s="3">
        <v>-170094</v>
      </c>
      <c r="C340" s="11">
        <v>1</v>
      </c>
      <c r="D340" s="11">
        <f t="shared" si="22"/>
        <v>241</v>
      </c>
      <c r="E340" s="11">
        <f t="shared" si="23"/>
        <v>0</v>
      </c>
      <c r="F340" s="11">
        <f t="shared" si="24"/>
        <v>-40992654</v>
      </c>
      <c r="G340" s="11"/>
      <c r="J340" t="s">
        <v>25</v>
      </c>
    </row>
    <row r="341" spans="1:13">
      <c r="A341" s="11" t="s">
        <v>5019</v>
      </c>
      <c r="B341" s="3">
        <v>-51730</v>
      </c>
      <c r="C341" s="11">
        <v>1</v>
      </c>
      <c r="D341" s="11">
        <f t="shared" si="22"/>
        <v>240</v>
      </c>
      <c r="E341" s="11">
        <f t="shared" si="23"/>
        <v>0</v>
      </c>
      <c r="F341" s="11">
        <f t="shared" si="24"/>
        <v>-12415200</v>
      </c>
      <c r="G341" s="11"/>
    </row>
    <row r="342" spans="1:13">
      <c r="A342" s="11" t="s">
        <v>5023</v>
      </c>
      <c r="B342" s="3">
        <v>-200000</v>
      </c>
      <c r="C342" s="11">
        <v>2</v>
      </c>
      <c r="D342" s="11">
        <f t="shared" si="22"/>
        <v>239</v>
      </c>
      <c r="E342" s="11">
        <f t="shared" si="23"/>
        <v>0</v>
      </c>
      <c r="F342" s="11">
        <f t="shared" si="24"/>
        <v>-47800000</v>
      </c>
      <c r="G342" s="11"/>
    </row>
    <row r="343" spans="1:13">
      <c r="A343" s="11" t="s">
        <v>4989</v>
      </c>
      <c r="B343" s="3">
        <v>-3000000</v>
      </c>
      <c r="C343" s="11">
        <v>0</v>
      </c>
      <c r="D343" s="11">
        <f t="shared" si="22"/>
        <v>237</v>
      </c>
      <c r="E343" s="11">
        <f t="shared" si="23"/>
        <v>0</v>
      </c>
      <c r="F343" s="11">
        <f t="shared" si="24"/>
        <v>-711000000</v>
      </c>
      <c r="G343" s="11"/>
    </row>
    <row r="344" spans="1:13">
      <c r="A344" s="11" t="s">
        <v>4989</v>
      </c>
      <c r="B344" s="3">
        <v>-39726</v>
      </c>
      <c r="C344" s="11">
        <v>1</v>
      </c>
      <c r="D344" s="11">
        <f t="shared" si="22"/>
        <v>237</v>
      </c>
      <c r="E344" s="11">
        <f t="shared" si="23"/>
        <v>0</v>
      </c>
      <c r="F344" s="11">
        <f t="shared" si="24"/>
        <v>-9415062</v>
      </c>
      <c r="G344" s="11"/>
      <c r="M344" t="s">
        <v>25</v>
      </c>
    </row>
    <row r="345" spans="1:13">
      <c r="A345" s="11" t="s">
        <v>5025</v>
      </c>
      <c r="B345" s="3">
        <v>-566500</v>
      </c>
      <c r="C345" s="11">
        <v>1</v>
      </c>
      <c r="D345" s="11">
        <f t="shared" si="22"/>
        <v>236</v>
      </c>
      <c r="E345" s="11">
        <f t="shared" si="23"/>
        <v>0</v>
      </c>
      <c r="F345" s="11">
        <f t="shared" si="24"/>
        <v>-133694000</v>
      </c>
      <c r="G345" s="11"/>
      <c r="K345" t="s">
        <v>25</v>
      </c>
    </row>
    <row r="346" spans="1:13">
      <c r="A346" s="11" t="s">
        <v>5026</v>
      </c>
      <c r="B346" s="3">
        <v>-300000</v>
      </c>
      <c r="C346" s="11">
        <v>22</v>
      </c>
      <c r="D346" s="11">
        <f t="shared" si="22"/>
        <v>235</v>
      </c>
      <c r="E346" s="11">
        <f t="shared" si="23"/>
        <v>1</v>
      </c>
      <c r="F346" s="11">
        <f t="shared" si="24"/>
        <v>-70200000</v>
      </c>
      <c r="G346" s="11"/>
      <c r="J346" t="s">
        <v>25</v>
      </c>
    </row>
    <row r="347" spans="1:13">
      <c r="A347" s="11" t="s">
        <v>5046</v>
      </c>
      <c r="B347" s="3">
        <v>700000</v>
      </c>
      <c r="C347" s="11">
        <v>1</v>
      </c>
      <c r="D347" s="11">
        <f t="shared" si="22"/>
        <v>213</v>
      </c>
      <c r="E347" s="11">
        <f t="shared" si="23"/>
        <v>0</v>
      </c>
      <c r="F347" s="11">
        <f t="shared" si="24"/>
        <v>149100000</v>
      </c>
      <c r="G347" s="11"/>
    </row>
    <row r="348" spans="1:13">
      <c r="A348" s="11" t="s">
        <v>5049</v>
      </c>
      <c r="B348" s="3">
        <v>-101000</v>
      </c>
      <c r="C348" s="11">
        <v>1</v>
      </c>
      <c r="D348" s="11">
        <f t="shared" si="22"/>
        <v>212</v>
      </c>
      <c r="E348" s="11">
        <f t="shared" si="23"/>
        <v>0</v>
      </c>
      <c r="F348" s="11">
        <f t="shared" si="24"/>
        <v>-21412000</v>
      </c>
      <c r="G348" s="11"/>
    </row>
    <row r="349" spans="1:13">
      <c r="A349" s="11" t="s">
        <v>5049</v>
      </c>
      <c r="B349" s="3">
        <v>-57245</v>
      </c>
      <c r="C349" s="11">
        <v>1</v>
      </c>
      <c r="D349" s="11">
        <f t="shared" si="22"/>
        <v>211</v>
      </c>
      <c r="E349" s="11">
        <f t="shared" si="23"/>
        <v>0</v>
      </c>
      <c r="F349" s="11">
        <f t="shared" si="24"/>
        <v>-12078695</v>
      </c>
      <c r="G349" s="11"/>
    </row>
    <row r="350" spans="1:13">
      <c r="A350" s="11" t="s">
        <v>5051</v>
      </c>
      <c r="B350" s="3">
        <v>-398700</v>
      </c>
      <c r="C350" s="11">
        <v>2</v>
      </c>
      <c r="D350" s="11">
        <f t="shared" si="22"/>
        <v>210</v>
      </c>
      <c r="E350" s="11">
        <f t="shared" si="23"/>
        <v>0</v>
      </c>
      <c r="F350" s="11">
        <f t="shared" si="24"/>
        <v>-83727000</v>
      </c>
      <c r="G350" s="11"/>
    </row>
    <row r="351" spans="1:13">
      <c r="A351" s="11" t="s">
        <v>5050</v>
      </c>
      <c r="B351" s="3">
        <v>-87010</v>
      </c>
      <c r="C351" s="11">
        <v>5</v>
      </c>
      <c r="D351" s="11">
        <f t="shared" si="22"/>
        <v>208</v>
      </c>
      <c r="E351" s="11">
        <f t="shared" si="23"/>
        <v>0</v>
      </c>
      <c r="F351" s="11">
        <f t="shared" si="24"/>
        <v>-18098080</v>
      </c>
      <c r="G351" s="11"/>
    </row>
    <row r="352" spans="1:13">
      <c r="A352" s="11" t="s">
        <v>5080</v>
      </c>
      <c r="B352" s="3">
        <v>-50000</v>
      </c>
      <c r="C352" s="11">
        <v>28</v>
      </c>
      <c r="D352" s="11">
        <f t="shared" si="22"/>
        <v>203</v>
      </c>
      <c r="E352" s="11">
        <f t="shared" si="23"/>
        <v>1</v>
      </c>
      <c r="F352" s="11">
        <f t="shared" si="24"/>
        <v>-10100000</v>
      </c>
      <c r="G352" s="11"/>
    </row>
    <row r="353" spans="1:12">
      <c r="A353" s="11" t="s">
        <v>5079</v>
      </c>
      <c r="B353" s="3">
        <v>1200000</v>
      </c>
      <c r="C353" s="11">
        <v>0</v>
      </c>
      <c r="D353" s="11">
        <f t="shared" ref="D353:D365" si="25">D354+C353</f>
        <v>175</v>
      </c>
      <c r="E353" s="11">
        <f t="shared" ref="E353:E365" si="26">IF(B354&gt;0,1,0)</f>
        <v>0</v>
      </c>
      <c r="F353" s="11">
        <f t="shared" ref="F353:F365" si="27">B353*(D353-E353)</f>
        <v>210000000</v>
      </c>
      <c r="G353" s="11"/>
    </row>
    <row r="354" spans="1:12">
      <c r="A354" s="11" t="s">
        <v>5079</v>
      </c>
      <c r="B354" s="3">
        <v>-367300</v>
      </c>
      <c r="C354" s="11">
        <v>1</v>
      </c>
      <c r="D354" s="11">
        <f t="shared" si="25"/>
        <v>175</v>
      </c>
      <c r="E354" s="11">
        <f t="shared" si="26"/>
        <v>0</v>
      </c>
      <c r="F354" s="11">
        <f t="shared" si="27"/>
        <v>-64277500</v>
      </c>
      <c r="G354" s="11"/>
    </row>
    <row r="355" spans="1:12">
      <c r="A355" s="11" t="s">
        <v>5081</v>
      </c>
      <c r="B355" s="3">
        <v>-104894</v>
      </c>
      <c r="C355" s="11">
        <v>1</v>
      </c>
      <c r="D355" s="11">
        <f t="shared" si="25"/>
        <v>174</v>
      </c>
      <c r="E355" s="11">
        <f t="shared" si="26"/>
        <v>0</v>
      </c>
      <c r="F355" s="11">
        <f t="shared" si="27"/>
        <v>-18251556</v>
      </c>
      <c r="G355" s="11"/>
    </row>
    <row r="356" spans="1:12">
      <c r="A356" s="11" t="s">
        <v>5082</v>
      </c>
      <c r="B356" s="3">
        <v>-688700</v>
      </c>
      <c r="C356" s="11">
        <v>0</v>
      </c>
      <c r="D356" s="11">
        <f t="shared" si="25"/>
        <v>173</v>
      </c>
      <c r="E356" s="11">
        <f t="shared" si="26"/>
        <v>0</v>
      </c>
      <c r="F356" s="11">
        <f t="shared" si="27"/>
        <v>-119145100</v>
      </c>
      <c r="G356" s="11"/>
    </row>
    <row r="357" spans="1:12">
      <c r="A357" s="11" t="s">
        <v>5082</v>
      </c>
      <c r="B357" s="3">
        <v>-8321</v>
      </c>
      <c r="C357" s="11">
        <v>5</v>
      </c>
      <c r="D357" s="11">
        <f t="shared" si="25"/>
        <v>173</v>
      </c>
      <c r="E357" s="11">
        <f t="shared" si="26"/>
        <v>1</v>
      </c>
      <c r="F357" s="11">
        <f t="shared" si="27"/>
        <v>-1431212</v>
      </c>
      <c r="G357" s="11"/>
      <c r="J357" t="s">
        <v>25</v>
      </c>
    </row>
    <row r="358" spans="1:12">
      <c r="A358" s="11" t="s">
        <v>5092</v>
      </c>
      <c r="B358" s="3">
        <v>1000000</v>
      </c>
      <c r="C358" s="11">
        <v>0</v>
      </c>
      <c r="D358" s="11">
        <f t="shared" si="25"/>
        <v>168</v>
      </c>
      <c r="E358" s="11">
        <f t="shared" si="26"/>
        <v>0</v>
      </c>
      <c r="F358" s="11">
        <f t="shared" si="27"/>
        <v>168000000</v>
      </c>
      <c r="G358" s="11"/>
    </row>
    <row r="359" spans="1:12">
      <c r="A359" s="11" t="s">
        <v>5092</v>
      </c>
      <c r="B359" s="3">
        <v>-127644</v>
      </c>
      <c r="C359" s="11">
        <v>1</v>
      </c>
      <c r="D359" s="11">
        <f t="shared" si="25"/>
        <v>168</v>
      </c>
      <c r="E359" s="11">
        <f t="shared" si="26"/>
        <v>0</v>
      </c>
      <c r="F359" s="11">
        <f t="shared" si="27"/>
        <v>-21444192</v>
      </c>
      <c r="G359" s="11"/>
    </row>
    <row r="360" spans="1:12">
      <c r="A360" s="11" t="s">
        <v>5093</v>
      </c>
      <c r="B360" s="3">
        <v>-418000</v>
      </c>
      <c r="C360" s="11">
        <v>4</v>
      </c>
      <c r="D360" s="11">
        <f t="shared" si="25"/>
        <v>167</v>
      </c>
      <c r="E360" s="11">
        <f t="shared" si="26"/>
        <v>0</v>
      </c>
      <c r="F360" s="11">
        <f t="shared" si="27"/>
        <v>-69806000</v>
      </c>
      <c r="G360" s="11"/>
    </row>
    <row r="361" spans="1:12">
      <c r="A361" s="11" t="s">
        <v>5097</v>
      </c>
      <c r="B361" s="3">
        <v>-183136</v>
      </c>
      <c r="C361" s="11">
        <v>2</v>
      </c>
      <c r="D361" s="11">
        <f t="shared" si="25"/>
        <v>163</v>
      </c>
      <c r="E361" s="11">
        <f t="shared" si="26"/>
        <v>0</v>
      </c>
      <c r="F361" s="11">
        <f t="shared" si="27"/>
        <v>-29851168</v>
      </c>
      <c r="G361" s="11"/>
      <c r="L361" t="s">
        <v>25</v>
      </c>
    </row>
    <row r="362" spans="1:12">
      <c r="A362" s="11" t="s">
        <v>5118</v>
      </c>
      <c r="B362" s="3">
        <v>-18600</v>
      </c>
      <c r="C362" s="11">
        <v>2</v>
      </c>
      <c r="D362" s="11">
        <f t="shared" si="25"/>
        <v>161</v>
      </c>
      <c r="E362" s="11">
        <f t="shared" si="26"/>
        <v>0</v>
      </c>
      <c r="F362" s="11">
        <f t="shared" si="27"/>
        <v>-2994600</v>
      </c>
      <c r="G362" s="11"/>
    </row>
    <row r="363" spans="1:12">
      <c r="A363" s="11" t="s">
        <v>5103</v>
      </c>
      <c r="B363" s="3">
        <v>-90000</v>
      </c>
      <c r="C363" s="11">
        <v>1</v>
      </c>
      <c r="D363" s="11">
        <f t="shared" si="25"/>
        <v>159</v>
      </c>
      <c r="E363" s="11">
        <f t="shared" si="26"/>
        <v>0</v>
      </c>
      <c r="F363" s="11">
        <f t="shared" si="27"/>
        <v>-14310000</v>
      </c>
      <c r="G363" s="11"/>
    </row>
    <row r="364" spans="1:12">
      <c r="A364" s="11" t="s">
        <v>5104</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5107</v>
      </c>
      <c r="B368" s="3">
        <v>3500000</v>
      </c>
      <c r="C368" s="11">
        <v>3</v>
      </c>
      <c r="D368" s="11">
        <f t="shared" si="28"/>
        <v>156</v>
      </c>
      <c r="E368" s="11">
        <f t="shared" si="29"/>
        <v>0</v>
      </c>
      <c r="F368" s="11">
        <f t="shared" si="30"/>
        <v>546000000</v>
      </c>
      <c r="G368" s="11"/>
    </row>
    <row r="369" spans="1:11">
      <c r="A369" s="11" t="s">
        <v>5109</v>
      </c>
      <c r="B369" s="3">
        <v>-93800</v>
      </c>
      <c r="C369" s="11">
        <v>1</v>
      </c>
      <c r="D369" s="11">
        <f t="shared" si="28"/>
        <v>153</v>
      </c>
      <c r="E369" s="11">
        <f t="shared" si="29"/>
        <v>0</v>
      </c>
      <c r="F369" s="11">
        <f t="shared" si="30"/>
        <v>-14351400</v>
      </c>
      <c r="G369" s="11"/>
    </row>
    <row r="370" spans="1:11">
      <c r="A370" s="11" t="s">
        <v>5111</v>
      </c>
      <c r="B370" s="3">
        <v>-815500</v>
      </c>
      <c r="C370" s="11">
        <v>1</v>
      </c>
      <c r="D370" s="11">
        <f t="shared" si="28"/>
        <v>152</v>
      </c>
      <c r="E370" s="11">
        <f t="shared" si="29"/>
        <v>0</v>
      </c>
      <c r="F370" s="11">
        <f t="shared" si="30"/>
        <v>-123956000</v>
      </c>
      <c r="G370" s="11"/>
    </row>
    <row r="371" spans="1:11">
      <c r="A371" s="11" t="s">
        <v>5114</v>
      </c>
      <c r="B371" s="3">
        <v>-2096840</v>
      </c>
      <c r="C371" s="11">
        <v>0</v>
      </c>
      <c r="D371" s="11">
        <f t="shared" si="28"/>
        <v>151</v>
      </c>
      <c r="E371" s="11">
        <f t="shared" si="29"/>
        <v>1</v>
      </c>
      <c r="F371" s="11">
        <f t="shared" si="30"/>
        <v>-314526000</v>
      </c>
      <c r="G371" s="11"/>
    </row>
    <row r="372" spans="1:11">
      <c r="A372" s="11" t="s">
        <v>5114</v>
      </c>
      <c r="B372" s="3">
        <v>533</v>
      </c>
      <c r="C372" s="11">
        <v>1</v>
      </c>
      <c r="D372" s="11">
        <f t="shared" si="28"/>
        <v>151</v>
      </c>
      <c r="E372" s="11">
        <f t="shared" si="29"/>
        <v>1</v>
      </c>
      <c r="F372" s="11">
        <f t="shared" si="30"/>
        <v>79950</v>
      </c>
      <c r="G372" s="11"/>
      <c r="J372" t="s">
        <v>25</v>
      </c>
    </row>
    <row r="373" spans="1:11">
      <c r="A373" s="11" t="s">
        <v>5116</v>
      </c>
      <c r="B373" s="3">
        <v>4100000</v>
      </c>
      <c r="C373" s="11">
        <v>1</v>
      </c>
      <c r="D373" s="11">
        <f t="shared" si="28"/>
        <v>150</v>
      </c>
      <c r="E373" s="11">
        <f t="shared" si="29"/>
        <v>0</v>
      </c>
      <c r="F373" s="11">
        <f t="shared" si="30"/>
        <v>615000000</v>
      </c>
      <c r="G373" s="11"/>
    </row>
    <row r="374" spans="1:11">
      <c r="A374" s="11" t="s">
        <v>5119</v>
      </c>
      <c r="B374" s="3">
        <v>-3642549</v>
      </c>
      <c r="C374" s="11">
        <v>3</v>
      </c>
      <c r="D374" s="11">
        <f t="shared" si="28"/>
        <v>149</v>
      </c>
      <c r="E374" s="11">
        <f t="shared" si="29"/>
        <v>0</v>
      </c>
      <c r="F374" s="11">
        <f t="shared" si="30"/>
        <v>-542739801</v>
      </c>
      <c r="G374" s="11"/>
    </row>
    <row r="375" spans="1:11">
      <c r="A375" s="11" t="s">
        <v>5128</v>
      </c>
      <c r="B375" s="3">
        <v>-317091</v>
      </c>
      <c r="C375" s="11">
        <v>1</v>
      </c>
      <c r="D375" s="11">
        <f t="shared" si="28"/>
        <v>146</v>
      </c>
      <c r="E375" s="11">
        <f t="shared" si="29"/>
        <v>0</v>
      </c>
      <c r="F375" s="11">
        <f t="shared" si="30"/>
        <v>-46295286</v>
      </c>
      <c r="G375" s="11"/>
    </row>
    <row r="376" spans="1:11">
      <c r="A376" s="11" t="s">
        <v>5121</v>
      </c>
      <c r="B376" s="3">
        <v>-1600000</v>
      </c>
      <c r="C376" s="11">
        <v>1</v>
      </c>
      <c r="D376" s="11">
        <f t="shared" si="28"/>
        <v>145</v>
      </c>
      <c r="E376" s="11">
        <f t="shared" si="29"/>
        <v>0</v>
      </c>
      <c r="F376" s="11">
        <f t="shared" si="30"/>
        <v>-232000000</v>
      </c>
      <c r="G376" s="11"/>
    </row>
    <row r="377" spans="1:11">
      <c r="A377" s="11" t="s">
        <v>5123</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5197</v>
      </c>
      <c r="B379" s="3">
        <v>10000000</v>
      </c>
      <c r="C379" s="11">
        <v>0</v>
      </c>
      <c r="D379" s="11">
        <f t="shared" si="31"/>
        <v>121</v>
      </c>
      <c r="E379" s="11">
        <f t="shared" si="32"/>
        <v>0</v>
      </c>
      <c r="F379" s="11">
        <f t="shared" si="33"/>
        <v>1210000000</v>
      </c>
      <c r="G379" s="11"/>
    </row>
    <row r="380" spans="1:11">
      <c r="A380" s="11" t="s">
        <v>5197</v>
      </c>
      <c r="B380" s="3">
        <v>-3000000</v>
      </c>
      <c r="C380" s="11">
        <v>0</v>
      </c>
      <c r="D380" s="11">
        <f t="shared" si="31"/>
        <v>121</v>
      </c>
      <c r="E380" s="11">
        <f t="shared" si="32"/>
        <v>0</v>
      </c>
      <c r="F380" s="11">
        <f t="shared" si="33"/>
        <v>-363000000</v>
      </c>
      <c r="G380" s="11"/>
    </row>
    <row r="381" spans="1:11">
      <c r="A381" s="11" t="s">
        <v>5197</v>
      </c>
      <c r="B381" s="3">
        <v>-3971300</v>
      </c>
      <c r="C381" s="11">
        <v>7</v>
      </c>
      <c r="D381" s="11">
        <f t="shared" si="31"/>
        <v>121</v>
      </c>
      <c r="E381" s="11">
        <f t="shared" si="32"/>
        <v>0</v>
      </c>
      <c r="F381" s="11">
        <f t="shared" si="33"/>
        <v>-480527300</v>
      </c>
      <c r="G381" s="11"/>
    </row>
    <row r="382" spans="1:11">
      <c r="A382" s="11" t="s">
        <v>5211</v>
      </c>
      <c r="B382" s="3">
        <v>-2472422</v>
      </c>
      <c r="C382" s="11">
        <v>2</v>
      </c>
      <c r="D382" s="11">
        <f t="shared" si="31"/>
        <v>114</v>
      </c>
      <c r="E382" s="11">
        <f t="shared" si="32"/>
        <v>0</v>
      </c>
      <c r="F382" s="11">
        <f t="shared" si="33"/>
        <v>-281856108</v>
      </c>
      <c r="G382" s="11"/>
    </row>
    <row r="383" spans="1:11">
      <c r="A383" s="11" t="s">
        <v>5233</v>
      </c>
      <c r="B383" s="3">
        <v>-345000</v>
      </c>
      <c r="C383" s="11">
        <v>1</v>
      </c>
      <c r="D383" s="11">
        <f t="shared" si="31"/>
        <v>112</v>
      </c>
      <c r="E383" s="11">
        <f t="shared" si="32"/>
        <v>0</v>
      </c>
      <c r="F383" s="11">
        <f t="shared" si="33"/>
        <v>-38640000</v>
      </c>
      <c r="G383" s="11"/>
    </row>
    <row r="384" spans="1:11">
      <c r="A384" s="11" t="s">
        <v>5234</v>
      </c>
      <c r="B384" s="3">
        <v>-200000</v>
      </c>
      <c r="C384" s="11">
        <v>10</v>
      </c>
      <c r="D384" s="11">
        <f t="shared" si="31"/>
        <v>111</v>
      </c>
      <c r="E384" s="11">
        <f t="shared" si="32"/>
        <v>1</v>
      </c>
      <c r="F384" s="11">
        <f t="shared" si="33"/>
        <v>-22000000</v>
      </c>
      <c r="G384" s="11"/>
    </row>
    <row r="385" spans="1:10">
      <c r="A385" s="11" t="s">
        <v>5229</v>
      </c>
      <c r="B385" s="3">
        <v>800000</v>
      </c>
      <c r="C385" s="11">
        <v>0</v>
      </c>
      <c r="D385" s="11">
        <f t="shared" si="31"/>
        <v>101</v>
      </c>
      <c r="E385" s="11">
        <f t="shared" si="32"/>
        <v>0</v>
      </c>
      <c r="F385" s="11">
        <f t="shared" si="33"/>
        <v>80800000</v>
      </c>
      <c r="G385" s="11"/>
    </row>
    <row r="386" spans="1:10">
      <c r="A386" s="11" t="s">
        <v>5229</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5235</v>
      </c>
      <c r="B389" s="3">
        <v>8000000</v>
      </c>
      <c r="C389" s="11">
        <v>1</v>
      </c>
      <c r="D389" s="11">
        <f t="shared" si="31"/>
        <v>99</v>
      </c>
      <c r="E389" s="11">
        <f t="shared" si="32"/>
        <v>0</v>
      </c>
      <c r="F389" s="11">
        <f t="shared" si="33"/>
        <v>792000000</v>
      </c>
      <c r="G389" s="11"/>
    </row>
    <row r="390" spans="1:10">
      <c r="A390" s="11" t="s">
        <v>5236</v>
      </c>
      <c r="B390" s="3">
        <v>-10000</v>
      </c>
      <c r="C390" s="11">
        <v>1</v>
      </c>
      <c r="D390" s="11">
        <f t="shared" si="31"/>
        <v>98</v>
      </c>
      <c r="E390" s="11">
        <f t="shared" si="32"/>
        <v>0</v>
      </c>
      <c r="F390" s="11">
        <f t="shared" si="33"/>
        <v>-980000</v>
      </c>
      <c r="G390" s="11"/>
    </row>
    <row r="391" spans="1:10">
      <c r="A391" s="11" t="s">
        <v>5237</v>
      </c>
      <c r="B391" s="3">
        <v>-88000</v>
      </c>
      <c r="C391" s="11">
        <v>1</v>
      </c>
      <c r="D391" s="11">
        <f t="shared" si="31"/>
        <v>97</v>
      </c>
      <c r="E391" s="11">
        <f t="shared" si="32"/>
        <v>0</v>
      </c>
      <c r="F391" s="11">
        <f t="shared" si="33"/>
        <v>-8536000</v>
      </c>
      <c r="G391" s="11"/>
    </row>
    <row r="392" spans="1:10">
      <c r="A392" s="11" t="s">
        <v>5238</v>
      </c>
      <c r="B392" s="3">
        <v>-297675</v>
      </c>
      <c r="C392" s="11">
        <v>3</v>
      </c>
      <c r="D392" s="11">
        <f t="shared" si="31"/>
        <v>96</v>
      </c>
      <c r="E392" s="11">
        <f t="shared" si="32"/>
        <v>0</v>
      </c>
      <c r="F392" s="11">
        <f t="shared" si="33"/>
        <v>-28576800</v>
      </c>
      <c r="G392" s="11"/>
    </row>
    <row r="393" spans="1:10">
      <c r="A393" s="11" t="s">
        <v>5230</v>
      </c>
      <c r="B393" s="3">
        <v>-10114121</v>
      </c>
      <c r="C393" s="11">
        <v>1</v>
      </c>
      <c r="D393" s="11">
        <f t="shared" si="31"/>
        <v>93</v>
      </c>
      <c r="E393" s="11">
        <f t="shared" si="32"/>
        <v>0</v>
      </c>
      <c r="F393" s="11">
        <f t="shared" si="33"/>
        <v>-940613253</v>
      </c>
      <c r="G393" s="11"/>
    </row>
    <row r="394" spans="1:10">
      <c r="A394" s="11" t="s">
        <v>5231</v>
      </c>
      <c r="B394" s="3">
        <v>-9000000</v>
      </c>
      <c r="C394" s="11">
        <v>1</v>
      </c>
      <c r="D394" s="11">
        <f t="shared" si="31"/>
        <v>92</v>
      </c>
      <c r="E394" s="11">
        <f t="shared" si="32"/>
        <v>0</v>
      </c>
      <c r="F394" s="11">
        <f t="shared" si="33"/>
        <v>-828000000</v>
      </c>
      <c r="G394" s="11"/>
      <c r="J394" s="7">
        <f>B422-743653+21500</f>
        <v>3919446</v>
      </c>
    </row>
    <row r="395" spans="1:10">
      <c r="A395" s="11" t="s">
        <v>5239</v>
      </c>
      <c r="B395" s="3">
        <v>-83930</v>
      </c>
      <c r="C395" s="11">
        <v>1</v>
      </c>
      <c r="D395" s="11">
        <f t="shared" si="31"/>
        <v>91</v>
      </c>
      <c r="E395" s="11">
        <f t="shared" si="32"/>
        <v>0</v>
      </c>
      <c r="F395" s="11">
        <f t="shared" si="33"/>
        <v>-7637630</v>
      </c>
      <c r="G395" s="11"/>
    </row>
    <row r="396" spans="1:10">
      <c r="A396" s="11" t="s">
        <v>5240</v>
      </c>
      <c r="B396" s="3">
        <v>-19520</v>
      </c>
      <c r="C396" s="11">
        <v>0</v>
      </c>
      <c r="D396" s="11">
        <f t="shared" si="31"/>
        <v>90</v>
      </c>
      <c r="E396" s="11">
        <f t="shared" si="32"/>
        <v>0</v>
      </c>
      <c r="F396" s="11">
        <f t="shared" si="33"/>
        <v>-1756800</v>
      </c>
      <c r="G396" s="11"/>
    </row>
    <row r="397" spans="1:10">
      <c r="A397" s="11" t="s">
        <v>5240</v>
      </c>
      <c r="B397" s="3">
        <v>-676034</v>
      </c>
      <c r="C397" s="11">
        <v>27</v>
      </c>
      <c r="D397" s="11">
        <f t="shared" si="31"/>
        <v>90</v>
      </c>
      <c r="E397" s="11">
        <f t="shared" si="32"/>
        <v>1</v>
      </c>
      <c r="F397" s="11">
        <f t="shared" si="33"/>
        <v>-60167026</v>
      </c>
      <c r="G397" s="11"/>
    </row>
    <row r="398" spans="1:10">
      <c r="A398" s="11" t="s">
        <v>5268</v>
      </c>
      <c r="B398" s="3">
        <v>2200000</v>
      </c>
      <c r="C398" s="11">
        <v>2</v>
      </c>
      <c r="D398" s="11">
        <f t="shared" si="31"/>
        <v>63</v>
      </c>
      <c r="E398" s="11">
        <f t="shared" si="32"/>
        <v>0</v>
      </c>
      <c r="F398" s="11">
        <f t="shared" si="33"/>
        <v>138600000</v>
      </c>
      <c r="G398" s="11"/>
    </row>
    <row r="399" spans="1:10">
      <c r="A399" s="11" t="s">
        <v>5273</v>
      </c>
      <c r="B399" s="3">
        <v>-2000000</v>
      </c>
      <c r="C399" s="11">
        <v>1</v>
      </c>
      <c r="D399" s="11">
        <f t="shared" si="31"/>
        <v>61</v>
      </c>
      <c r="E399" s="11">
        <f t="shared" si="32"/>
        <v>0</v>
      </c>
      <c r="F399" s="11">
        <f t="shared" si="33"/>
        <v>-122000000</v>
      </c>
      <c r="G399" s="11"/>
    </row>
    <row r="400" spans="1:10">
      <c r="A400" s="11" t="s">
        <v>5274</v>
      </c>
      <c r="B400" s="3">
        <v>-28400</v>
      </c>
      <c r="C400" s="11">
        <v>1</v>
      </c>
      <c r="D400" s="11">
        <f t="shared" si="31"/>
        <v>60</v>
      </c>
      <c r="E400" s="11">
        <f t="shared" si="32"/>
        <v>0</v>
      </c>
      <c r="F400" s="11">
        <f t="shared" si="33"/>
        <v>-1704000</v>
      </c>
      <c r="G400" s="11"/>
    </row>
    <row r="401" spans="1:15">
      <c r="A401" s="11" t="s">
        <v>5276</v>
      </c>
      <c r="B401" s="3">
        <v>-126475</v>
      </c>
      <c r="C401" s="11">
        <v>1</v>
      </c>
      <c r="D401" s="11">
        <f t="shared" si="31"/>
        <v>59</v>
      </c>
      <c r="E401" s="11">
        <f t="shared" si="32"/>
        <v>0</v>
      </c>
      <c r="F401" s="11">
        <f t="shared" si="33"/>
        <v>-7462025</v>
      </c>
      <c r="G401" s="11"/>
    </row>
    <row r="402" spans="1:15">
      <c r="A402" s="11" t="s">
        <v>5275</v>
      </c>
      <c r="B402" s="3">
        <v>-32807</v>
      </c>
      <c r="C402" s="11">
        <v>4</v>
      </c>
      <c r="D402" s="11">
        <f t="shared" si="31"/>
        <v>58</v>
      </c>
      <c r="E402" s="11">
        <f t="shared" si="32"/>
        <v>0</v>
      </c>
      <c r="F402" s="11">
        <f t="shared" si="33"/>
        <v>-1902806</v>
      </c>
      <c r="G402" s="11"/>
    </row>
    <row r="403" spans="1:15">
      <c r="A403" s="11" t="s">
        <v>5279</v>
      </c>
      <c r="B403" s="3">
        <v>-11700</v>
      </c>
      <c r="C403" s="11">
        <v>7</v>
      </c>
      <c r="D403" s="11">
        <f t="shared" si="31"/>
        <v>54</v>
      </c>
      <c r="E403" s="11">
        <f t="shared" si="32"/>
        <v>1</v>
      </c>
      <c r="F403" s="11">
        <f t="shared" si="33"/>
        <v>-620100</v>
      </c>
      <c r="G403" s="11"/>
    </row>
    <row r="404" spans="1:15">
      <c r="A404" s="11" t="s">
        <v>5287</v>
      </c>
      <c r="B404" s="3">
        <v>5032773</v>
      </c>
      <c r="C404" s="11">
        <v>0</v>
      </c>
      <c r="D404" s="11">
        <f t="shared" si="31"/>
        <v>47</v>
      </c>
      <c r="E404" s="11">
        <f t="shared" si="32"/>
        <v>0</v>
      </c>
      <c r="F404" s="11">
        <f t="shared" si="33"/>
        <v>236540331</v>
      </c>
      <c r="G404" s="11"/>
    </row>
    <row r="405" spans="1:15">
      <c r="A405" s="11" t="s">
        <v>5287</v>
      </c>
      <c r="B405" s="3">
        <v>-5000000</v>
      </c>
      <c r="C405" s="11">
        <v>13</v>
      </c>
      <c r="D405" s="11">
        <f t="shared" si="31"/>
        <v>47</v>
      </c>
      <c r="E405" s="11">
        <f t="shared" si="32"/>
        <v>1</v>
      </c>
      <c r="F405" s="11">
        <f t="shared" si="33"/>
        <v>-230000000</v>
      </c>
      <c r="G405" s="11"/>
    </row>
    <row r="406" spans="1:15">
      <c r="A406" s="11" t="s">
        <v>5309</v>
      </c>
      <c r="B406" s="3">
        <v>1200000</v>
      </c>
      <c r="C406" s="11">
        <v>1</v>
      </c>
      <c r="D406" s="11">
        <f t="shared" si="31"/>
        <v>34</v>
      </c>
      <c r="E406" s="11">
        <f t="shared" si="32"/>
        <v>0</v>
      </c>
      <c r="F406" s="11">
        <f t="shared" si="33"/>
        <v>40800000</v>
      </c>
      <c r="G406" s="11"/>
    </row>
    <row r="407" spans="1:15">
      <c r="A407" s="11" t="s">
        <v>5301</v>
      </c>
      <c r="B407" s="3">
        <v>-1200000</v>
      </c>
      <c r="C407" s="11">
        <v>0</v>
      </c>
      <c r="D407" s="11">
        <f t="shared" si="31"/>
        <v>33</v>
      </c>
      <c r="E407" s="11">
        <f t="shared" si="32"/>
        <v>0</v>
      </c>
      <c r="F407" s="11">
        <f t="shared" si="33"/>
        <v>-39600000</v>
      </c>
      <c r="G407" s="11"/>
      <c r="O407" t="s">
        <v>25</v>
      </c>
    </row>
    <row r="408" spans="1:15">
      <c r="A408" s="11" t="s">
        <v>5301</v>
      </c>
      <c r="B408" s="3">
        <v>-784</v>
      </c>
      <c r="C408" s="11">
        <v>1</v>
      </c>
      <c r="D408" s="11">
        <f t="shared" si="31"/>
        <v>33</v>
      </c>
      <c r="E408" s="11">
        <f t="shared" si="32"/>
        <v>0</v>
      </c>
      <c r="F408" s="11">
        <f t="shared" si="33"/>
        <v>-25872</v>
      </c>
      <c r="G408" s="11" t="s">
        <v>5310</v>
      </c>
    </row>
    <row r="409" spans="1:15">
      <c r="A409" s="11" t="s">
        <v>5334</v>
      </c>
      <c r="B409" s="3">
        <v>-37927</v>
      </c>
      <c r="C409" s="11">
        <v>30</v>
      </c>
      <c r="D409" s="11">
        <f t="shared" si="31"/>
        <v>32</v>
      </c>
      <c r="E409" s="11">
        <f t="shared" si="32"/>
        <v>1</v>
      </c>
      <c r="F409" s="11">
        <f t="shared" si="33"/>
        <v>-1175737</v>
      </c>
      <c r="G409" s="11"/>
    </row>
    <row r="410" spans="1:15">
      <c r="A410" s="11" t="s">
        <v>5336</v>
      </c>
      <c r="B410" s="3">
        <v>5000000</v>
      </c>
      <c r="C410" s="11">
        <v>0</v>
      </c>
      <c r="D410" s="11">
        <f t="shared" si="31"/>
        <v>2</v>
      </c>
      <c r="E410" s="11">
        <f t="shared" si="32"/>
        <v>0</v>
      </c>
      <c r="F410" s="11">
        <f t="shared" si="33"/>
        <v>10000000</v>
      </c>
      <c r="G410" s="11"/>
    </row>
    <row r="411" spans="1:15">
      <c r="A411" s="11" t="s">
        <v>5336</v>
      </c>
      <c r="B411" s="3">
        <v>-1620700</v>
      </c>
      <c r="C411" s="11">
        <v>1</v>
      </c>
      <c r="D411" s="11">
        <f t="shared" si="31"/>
        <v>2</v>
      </c>
      <c r="E411" s="11">
        <f t="shared" si="32"/>
        <v>1</v>
      </c>
      <c r="F411" s="11">
        <f t="shared" si="33"/>
        <v>-1620700</v>
      </c>
      <c r="G411" s="11"/>
    </row>
    <row r="412" spans="1:15">
      <c r="A412" s="11" t="s">
        <v>5338</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4925</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4927</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4931</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4933</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4934</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4936</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4939</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4979</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4987</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4990</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4991</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4994</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4926</v>
      </c>
      <c r="J187" s="3">
        <f t="shared" si="16"/>
        <v>-1865454</v>
      </c>
      <c r="K187" s="2" t="s">
        <v>4925</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4927</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4932</v>
      </c>
      <c r="J190" s="131">
        <f>L190-L189+4000000</f>
        <v>-1393565</v>
      </c>
      <c r="K190" s="132" t="s">
        <v>4931</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4933</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4934</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4936</v>
      </c>
      <c r="L194" s="169">
        <v>901275329</v>
      </c>
      <c r="M194" s="169">
        <v>583098793</v>
      </c>
      <c r="N194" s="37">
        <f>L194+M194</f>
        <v>1484374122</v>
      </c>
      <c r="O194" s="37">
        <f t="shared" si="19"/>
        <v>-3486217</v>
      </c>
      <c r="P194" s="37">
        <f>N194-N193</f>
        <v>-18861608</v>
      </c>
      <c r="Q194" s="153">
        <v>0</v>
      </c>
    </row>
    <row r="195" spans="9:17">
      <c r="I195" s="132" t="s">
        <v>4941</v>
      </c>
      <c r="J195" s="131">
        <f>L195-L194-150000</f>
        <v>17593478</v>
      </c>
      <c r="K195" s="132" t="s">
        <v>4939</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4942</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4943</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4946</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4971</v>
      </c>
      <c r="L199" s="59">
        <v>992076311</v>
      </c>
      <c r="M199" s="59">
        <v>638214788</v>
      </c>
      <c r="N199" s="147">
        <f t="shared" si="15"/>
        <v>1630291099</v>
      </c>
      <c r="O199" s="3">
        <f t="shared" si="19"/>
        <v>470124</v>
      </c>
      <c r="P199" s="3">
        <f t="shared" si="20"/>
        <v>12547575</v>
      </c>
      <c r="Q199" s="153">
        <v>0</v>
      </c>
    </row>
    <row r="200" spans="9:17">
      <c r="I200" s="132" t="s">
        <v>4974</v>
      </c>
      <c r="J200" s="131">
        <f>L200-L199-400000</f>
        <v>-7612896</v>
      </c>
      <c r="K200" s="132" t="s">
        <v>4972</v>
      </c>
      <c r="L200" s="157">
        <v>984863415</v>
      </c>
      <c r="M200" s="157">
        <v>632226484</v>
      </c>
      <c r="N200" s="131">
        <f t="shared" si="15"/>
        <v>1617089899</v>
      </c>
      <c r="O200" s="131">
        <f t="shared" si="19"/>
        <v>-5988304</v>
      </c>
      <c r="P200" s="131">
        <f>N200-N199-400000</f>
        <v>-13601200</v>
      </c>
      <c r="Q200" s="153">
        <v>400000</v>
      </c>
    </row>
    <row r="201" spans="9:17">
      <c r="I201" s="145" t="s">
        <v>4977</v>
      </c>
      <c r="J201" s="163">
        <f>L201-L200+100000</f>
        <v>12509920</v>
      </c>
      <c r="K201" s="145" t="s">
        <v>4975</v>
      </c>
      <c r="L201" s="164">
        <v>997273335</v>
      </c>
      <c r="M201" s="164">
        <v>639479822</v>
      </c>
      <c r="N201" s="147">
        <f t="shared" si="15"/>
        <v>1636753157</v>
      </c>
      <c r="O201" s="163">
        <f t="shared" si="19"/>
        <v>7253338</v>
      </c>
      <c r="P201" s="163">
        <f>N201-N200+100000</f>
        <v>19763258</v>
      </c>
      <c r="Q201" s="153">
        <v>-100000</v>
      </c>
    </row>
    <row r="202" spans="9:17">
      <c r="I202" s="132" t="s">
        <v>4980</v>
      </c>
      <c r="J202" s="131">
        <f>L202-L201-10000000</f>
        <v>-2265988</v>
      </c>
      <c r="K202" s="132" t="s">
        <v>4979</v>
      </c>
      <c r="L202" s="157">
        <v>1005007347</v>
      </c>
      <c r="M202" s="157">
        <v>636084938</v>
      </c>
      <c r="N202" s="131">
        <f t="shared" si="15"/>
        <v>1641092285</v>
      </c>
      <c r="O202" s="131">
        <f t="shared" si="19"/>
        <v>-3394884</v>
      </c>
      <c r="P202" s="131">
        <f>N202-N201-10000000</f>
        <v>-5660872</v>
      </c>
      <c r="Q202" s="153">
        <v>10000000</v>
      </c>
    </row>
    <row r="203" spans="9:17">
      <c r="I203" s="145" t="s">
        <v>4985</v>
      </c>
      <c r="J203" s="163">
        <f>L203-L202+400000</f>
        <v>8061336</v>
      </c>
      <c r="K203" s="145" t="s">
        <v>4984</v>
      </c>
      <c r="L203" s="164">
        <v>1012668683</v>
      </c>
      <c r="M203" s="164">
        <v>641491326</v>
      </c>
      <c r="N203" s="147">
        <f t="shared" si="15"/>
        <v>1654160009</v>
      </c>
      <c r="O203" s="163">
        <f t="shared" si="19"/>
        <v>5406388</v>
      </c>
      <c r="P203" s="163">
        <f>N203-N202+400000</f>
        <v>13467724</v>
      </c>
      <c r="Q203" s="153">
        <v>-400000</v>
      </c>
    </row>
    <row r="204" spans="9:17">
      <c r="I204" s="145" t="s">
        <v>4986</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4987</v>
      </c>
      <c r="L205" s="59">
        <v>994703217</v>
      </c>
      <c r="M205" s="59">
        <v>626521958</v>
      </c>
      <c r="N205" s="3">
        <f t="shared" si="22"/>
        <v>1621225175</v>
      </c>
      <c r="O205" s="3">
        <f>M205-M204</f>
        <v>1823955</v>
      </c>
      <c r="P205" s="3">
        <f>N205-N204</f>
        <v>5250669</v>
      </c>
      <c r="Q205" s="153">
        <v>0</v>
      </c>
    </row>
    <row r="206" spans="9:17">
      <c r="I206" s="2"/>
      <c r="J206" s="3">
        <f t="shared" si="21"/>
        <v>-3600500</v>
      </c>
      <c r="K206" s="2" t="s">
        <v>4990</v>
      </c>
      <c r="L206" s="59">
        <v>991102717</v>
      </c>
      <c r="M206" s="59">
        <v>623731041</v>
      </c>
      <c r="N206" s="3">
        <f t="shared" si="22"/>
        <v>1614833758</v>
      </c>
      <c r="O206" s="3">
        <f>M206-M205</f>
        <v>-2790917</v>
      </c>
      <c r="P206" s="3">
        <f>N206-N205</f>
        <v>-6391417</v>
      </c>
      <c r="Q206" s="153">
        <v>0</v>
      </c>
    </row>
    <row r="207" spans="9:17">
      <c r="I207" s="132" t="s">
        <v>4993</v>
      </c>
      <c r="J207" s="131">
        <f>L207-L206-1300000</f>
        <v>-17889835</v>
      </c>
      <c r="K207" s="132" t="s">
        <v>4991</v>
      </c>
      <c r="L207" s="157">
        <v>974512882</v>
      </c>
      <c r="M207" s="157">
        <v>611227725</v>
      </c>
      <c r="N207" s="131">
        <f t="shared" si="22"/>
        <v>1585740607</v>
      </c>
      <c r="O207" s="131">
        <f>M207-M206-230000</f>
        <v>-12733316</v>
      </c>
      <c r="P207" s="131">
        <f>N207-N206-1530000</f>
        <v>-30623151</v>
      </c>
      <c r="Q207" s="153">
        <v>1530000</v>
      </c>
    </row>
    <row r="208" spans="9:17">
      <c r="I208" s="145" t="s">
        <v>4995</v>
      </c>
      <c r="J208" s="163">
        <f>L208-L207-230000</f>
        <v>26666770</v>
      </c>
      <c r="K208" s="145" t="s">
        <v>4994</v>
      </c>
      <c r="L208" s="164">
        <v>1001409652</v>
      </c>
      <c r="M208" s="164">
        <v>627313031</v>
      </c>
      <c r="N208" s="163">
        <f t="shared" si="22"/>
        <v>1628722683</v>
      </c>
      <c r="O208" s="163">
        <f>M208-M207+880000</f>
        <v>16965306</v>
      </c>
      <c r="P208" s="163">
        <f>N208-N207</f>
        <v>42982076</v>
      </c>
      <c r="Q208" s="153">
        <v>-650000</v>
      </c>
    </row>
    <row r="209" spans="9:19">
      <c r="I209" s="132" t="s">
        <v>4996</v>
      </c>
      <c r="J209" s="131">
        <f>L209-L208-880000</f>
        <v>38363123</v>
      </c>
      <c r="K209" s="132" t="s">
        <v>4997</v>
      </c>
      <c r="L209" s="157">
        <v>1040652775</v>
      </c>
      <c r="M209" s="157">
        <v>653526288</v>
      </c>
      <c r="N209" s="147">
        <f t="shared" si="22"/>
        <v>1694179063</v>
      </c>
      <c r="O209" s="131">
        <f>M209-M208</f>
        <v>26213257</v>
      </c>
      <c r="P209" s="131">
        <f>N209-N208-880000</f>
        <v>64576380</v>
      </c>
      <c r="Q209" s="153">
        <v>880000</v>
      </c>
    </row>
    <row r="210" spans="9:19">
      <c r="I210" s="145" t="s">
        <v>4999</v>
      </c>
      <c r="J210" s="163">
        <f>L210-L209+900000</f>
        <v>20298534</v>
      </c>
      <c r="K210" s="145" t="s">
        <v>4998</v>
      </c>
      <c r="L210" s="164">
        <v>1060051309</v>
      </c>
      <c r="M210" s="164">
        <v>663872836</v>
      </c>
      <c r="N210" s="147">
        <f t="shared" si="22"/>
        <v>1723924145</v>
      </c>
      <c r="O210" s="163">
        <f>M210-M209-200000</f>
        <v>10146548</v>
      </c>
      <c r="P210" s="163">
        <f>N210-N209+700000</f>
        <v>30445082</v>
      </c>
      <c r="Q210" s="153">
        <v>-700000</v>
      </c>
    </row>
    <row r="211" spans="9:19">
      <c r="I211" s="132" t="s">
        <v>5000</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5001</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5002</v>
      </c>
      <c r="J213" s="3">
        <f>L213-L212+800000</f>
        <v>15351721</v>
      </c>
      <c r="K213" s="2" t="s">
        <v>5003</v>
      </c>
      <c r="L213" s="59">
        <v>1017597520</v>
      </c>
      <c r="M213" s="59">
        <v>638870084</v>
      </c>
      <c r="N213" s="3">
        <f t="shared" si="22"/>
        <v>1656467604</v>
      </c>
      <c r="O213" s="3">
        <f>M213-M212+10000000</f>
        <v>14214313</v>
      </c>
      <c r="P213" s="3">
        <f>N213-N212+10800000</f>
        <v>29566034</v>
      </c>
      <c r="Q213" s="153">
        <v>-10800000</v>
      </c>
    </row>
    <row r="214" spans="9:19">
      <c r="I214" s="145" t="s">
        <v>5009</v>
      </c>
      <c r="J214" s="163">
        <f t="shared" si="21"/>
        <v>-18127600</v>
      </c>
      <c r="K214" s="145" t="s">
        <v>5005</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5010</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5012</v>
      </c>
      <c r="J217" s="163">
        <f>L217-L216-50000</f>
        <v>-3947893</v>
      </c>
      <c r="K217" s="145" t="s">
        <v>5011</v>
      </c>
      <c r="L217" s="164">
        <v>1010326365</v>
      </c>
      <c r="M217" s="164">
        <v>632690003</v>
      </c>
      <c r="N217" s="163">
        <f t="shared" si="23"/>
        <v>1643016368</v>
      </c>
      <c r="O217" s="163">
        <f t="shared" si="24"/>
        <v>-2811879</v>
      </c>
      <c r="P217" s="163">
        <f>N217-N216-50000</f>
        <v>-6759772</v>
      </c>
      <c r="Q217" s="153">
        <v>50000</v>
      </c>
    </row>
    <row r="218" spans="9:19">
      <c r="I218" s="145" t="s">
        <v>5014</v>
      </c>
      <c r="J218" s="163">
        <f>L218-L217-400000</f>
        <v>-7352281</v>
      </c>
      <c r="K218" s="145" t="s">
        <v>5016</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5018</v>
      </c>
      <c r="L219" s="59">
        <v>999517682</v>
      </c>
      <c r="M219" s="59">
        <v>627640361</v>
      </c>
      <c r="N219" s="3">
        <f t="shared" si="23"/>
        <v>1627158043</v>
      </c>
      <c r="O219" s="3">
        <f t="shared" si="24"/>
        <v>-1762209</v>
      </c>
      <c r="P219" s="3">
        <f t="shared" si="25"/>
        <v>-5618611</v>
      </c>
      <c r="Q219" s="153">
        <v>0</v>
      </c>
    </row>
    <row r="220" spans="9:19">
      <c r="I220" s="132" t="s">
        <v>5020</v>
      </c>
      <c r="J220" s="131">
        <f t="shared" si="21"/>
        <v>30762624</v>
      </c>
      <c r="K220" s="132" t="s">
        <v>5019</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4989</v>
      </c>
      <c r="L221" s="59">
        <v>1013932649</v>
      </c>
      <c r="M221" s="59">
        <v>635152182</v>
      </c>
      <c r="N221" s="3">
        <f t="shared" si="23"/>
        <v>1649084831</v>
      </c>
      <c r="O221" s="3">
        <f t="shared" si="24"/>
        <v>-10386048</v>
      </c>
      <c r="P221" s="3">
        <f t="shared" si="25"/>
        <v>-26733705</v>
      </c>
      <c r="Q221" s="153">
        <v>0</v>
      </c>
    </row>
    <row r="222" spans="9:19">
      <c r="I222" s="183" t="s">
        <v>5024</v>
      </c>
      <c r="J222" s="184">
        <f>L222-L221+7000000</f>
        <v>4431891</v>
      </c>
      <c r="K222" s="183" t="s">
        <v>5025</v>
      </c>
      <c r="L222" s="185">
        <v>1011364540</v>
      </c>
      <c r="M222" s="185">
        <v>634014280</v>
      </c>
      <c r="N222" s="184">
        <f t="shared" si="23"/>
        <v>1645378820</v>
      </c>
      <c r="O222" s="184">
        <f t="shared" si="24"/>
        <v>-1137902</v>
      </c>
      <c r="P222" s="184">
        <f>N222-N221+7000000</f>
        <v>3293989</v>
      </c>
      <c r="Q222" s="153">
        <v>-7000000</v>
      </c>
    </row>
    <row r="223" spans="9:19">
      <c r="I223" s="145" t="s">
        <v>5027</v>
      </c>
      <c r="J223" s="163">
        <f t="shared" si="21"/>
        <v>-12364540</v>
      </c>
      <c r="K223" s="145" t="s">
        <v>5026</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5028</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5029</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5030</v>
      </c>
      <c r="L226" s="59">
        <v>995000000</v>
      </c>
      <c r="M226" s="59">
        <v>625000000</v>
      </c>
      <c r="N226" s="3">
        <f t="shared" si="23"/>
        <v>1620000000</v>
      </c>
      <c r="O226" s="3">
        <f t="shared" si="24"/>
        <v>-2621912</v>
      </c>
      <c r="P226" s="3">
        <f t="shared" si="25"/>
        <v>-8262288</v>
      </c>
      <c r="Q226" s="153">
        <v>0</v>
      </c>
    </row>
    <row r="227" spans="9:19">
      <c r="I227" s="132" t="s">
        <v>5031</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5033</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5034</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5035</v>
      </c>
      <c r="L230" s="59">
        <v>981346829</v>
      </c>
      <c r="M230" s="59">
        <v>616768631</v>
      </c>
      <c r="N230" s="3">
        <f>L230+M230</f>
        <v>1598115460</v>
      </c>
      <c r="O230" s="3">
        <f t="shared" si="24"/>
        <v>-231369</v>
      </c>
      <c r="P230" s="3">
        <f t="shared" si="25"/>
        <v>-2584540</v>
      </c>
      <c r="Q230" s="153">
        <v>0</v>
      </c>
    </row>
    <row r="231" spans="9:19">
      <c r="I231" s="132" t="s">
        <v>5037</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5036</v>
      </c>
      <c r="L232" s="59">
        <v>982764273</v>
      </c>
      <c r="M232" s="59">
        <v>618232370</v>
      </c>
      <c r="N232" s="3">
        <f t="shared" si="23"/>
        <v>1600996643</v>
      </c>
      <c r="O232" s="3">
        <f t="shared" si="24"/>
        <v>9817180</v>
      </c>
      <c r="P232" s="3">
        <f t="shared" si="25"/>
        <v>27833689</v>
      </c>
      <c r="Q232" s="153">
        <v>0</v>
      </c>
    </row>
    <row r="233" spans="9:19">
      <c r="I233" s="132" t="s">
        <v>5039</v>
      </c>
      <c r="J233" s="131">
        <f>L233-L232+990760</f>
        <v>270597</v>
      </c>
      <c r="K233" s="132" t="s">
        <v>5038</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5040</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5041</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5044</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5045</v>
      </c>
      <c r="L237" s="59">
        <v>973935836</v>
      </c>
      <c r="M237" s="59">
        <v>612781866</v>
      </c>
      <c r="N237" s="3">
        <f t="shared" si="23"/>
        <v>1586717702</v>
      </c>
      <c r="O237" s="3">
        <f t="shared" si="24"/>
        <v>-4703074</v>
      </c>
      <c r="P237" s="3">
        <f t="shared" si="25"/>
        <v>-14274043</v>
      </c>
      <c r="Q237" s="153">
        <v>0</v>
      </c>
    </row>
    <row r="238" spans="9:19">
      <c r="I238" s="145" t="s">
        <v>5047</v>
      </c>
      <c r="J238" s="163">
        <f>L238-L237-101268</f>
        <v>10034013</v>
      </c>
      <c r="K238" s="145" t="s">
        <v>5046</v>
      </c>
      <c r="L238" s="164">
        <v>984071117</v>
      </c>
      <c r="M238" s="164">
        <v>619527192</v>
      </c>
      <c r="N238" s="163">
        <f t="shared" si="23"/>
        <v>1603598309</v>
      </c>
      <c r="O238" s="163">
        <f t="shared" si="24"/>
        <v>6745326</v>
      </c>
      <c r="P238" s="163">
        <f>N238-N237-101268</f>
        <v>16779339</v>
      </c>
      <c r="Q238" s="153">
        <v>101268</v>
      </c>
    </row>
    <row r="239" spans="9:19">
      <c r="I239" s="186" t="s">
        <v>5048</v>
      </c>
      <c r="J239" s="68">
        <f>L239-L238-101000</f>
        <v>-5512506</v>
      </c>
      <c r="K239" s="186" t="s">
        <v>5049</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5050</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5052</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5054</v>
      </c>
      <c r="L243" s="59">
        <v>983259718</v>
      </c>
      <c r="M243" s="59">
        <v>621468793</v>
      </c>
      <c r="N243" s="3">
        <f t="shared" si="27"/>
        <v>1604728511</v>
      </c>
      <c r="O243" s="3">
        <f t="shared" si="28"/>
        <v>318844</v>
      </c>
      <c r="P243" s="3">
        <f t="shared" si="28"/>
        <v>345858</v>
      </c>
      <c r="Q243" s="153">
        <v>0</v>
      </c>
    </row>
    <row r="244" spans="9:19">
      <c r="I244" s="2"/>
      <c r="J244" s="3">
        <f t="shared" si="26"/>
        <v>19769</v>
      </c>
      <c r="K244" s="2" t="s">
        <v>5055</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5056</v>
      </c>
      <c r="L245" s="59">
        <v>998579204</v>
      </c>
      <c r="M245" s="59">
        <v>629376264</v>
      </c>
      <c r="N245" s="3">
        <f t="shared" si="27"/>
        <v>1627955468</v>
      </c>
      <c r="O245" s="3">
        <f t="shared" si="28"/>
        <v>8498945</v>
      </c>
      <c r="P245" s="3">
        <f t="shared" si="28"/>
        <v>23798662</v>
      </c>
      <c r="Q245" s="153">
        <v>0</v>
      </c>
    </row>
    <row r="246" spans="9:19">
      <c r="I246" s="2"/>
      <c r="J246" s="3">
        <f t="shared" si="26"/>
        <v>8005</v>
      </c>
      <c r="K246" s="2" t="s">
        <v>5059</v>
      </c>
      <c r="L246" s="59">
        <v>998587209</v>
      </c>
      <c r="M246" s="59">
        <v>628989460</v>
      </c>
      <c r="N246" s="3">
        <f t="shared" si="27"/>
        <v>1627576669</v>
      </c>
      <c r="O246" s="3">
        <f t="shared" si="28"/>
        <v>-386804</v>
      </c>
      <c r="P246" s="3">
        <f t="shared" si="28"/>
        <v>-378799</v>
      </c>
      <c r="Q246" s="153">
        <v>0</v>
      </c>
    </row>
    <row r="247" spans="9:19">
      <c r="I247" s="132" t="s">
        <v>5061</v>
      </c>
      <c r="J247" s="131">
        <f t="shared" si="26"/>
        <v>57939414</v>
      </c>
      <c r="K247" s="132" t="s">
        <v>5060</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5062</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5063</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5064</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5065</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5066</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5067</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5068</v>
      </c>
      <c r="L255" s="59">
        <v>1154946925</v>
      </c>
      <c r="M255" s="59">
        <v>724493233</v>
      </c>
      <c r="N255" s="147">
        <f t="shared" si="31"/>
        <v>1879440158</v>
      </c>
      <c r="O255" s="3">
        <f t="shared" si="32"/>
        <v>3771085</v>
      </c>
      <c r="P255" s="3">
        <f t="shared" si="33"/>
        <v>9561690</v>
      </c>
      <c r="Q255" s="153">
        <v>0</v>
      </c>
    </row>
    <row r="256" spans="9:19">
      <c r="I256" s="2" t="s">
        <v>5069</v>
      </c>
      <c r="J256" s="3">
        <f t="shared" si="30"/>
        <v>40761008</v>
      </c>
      <c r="K256" s="2" t="s">
        <v>5070</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5072</v>
      </c>
      <c r="L257" s="59">
        <v>1204397532</v>
      </c>
      <c r="M257" s="59">
        <v>768290500</v>
      </c>
      <c r="N257" s="147">
        <f t="shared" si="31"/>
        <v>1972688032</v>
      </c>
      <c r="O257" s="3">
        <f t="shared" si="32"/>
        <v>4065339</v>
      </c>
      <c r="P257" s="3">
        <f t="shared" si="33"/>
        <v>12754938</v>
      </c>
      <c r="Q257" s="153">
        <v>0</v>
      </c>
    </row>
    <row r="258" spans="9:19">
      <c r="I258" s="132" t="s">
        <v>5075</v>
      </c>
      <c r="J258" s="131">
        <f>L258-L257+488602</f>
        <v>5275127</v>
      </c>
      <c r="K258" s="132" t="s">
        <v>5073</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5074</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5077</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5082</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5088</v>
      </c>
      <c r="L262" s="59">
        <v>1153433035</v>
      </c>
      <c r="M262" s="59">
        <v>736240181</v>
      </c>
      <c r="N262" s="3">
        <f t="shared" si="31"/>
        <v>1889673216</v>
      </c>
      <c r="O262" s="3">
        <f t="shared" si="32"/>
        <v>-19759819</v>
      </c>
      <c r="P262" s="3">
        <f t="shared" si="33"/>
        <v>-46326784</v>
      </c>
      <c r="Q262" s="153">
        <v>0</v>
      </c>
    </row>
    <row r="263" spans="9:19">
      <c r="I263" s="145" t="s">
        <v>5090</v>
      </c>
      <c r="J263" s="163">
        <f>L263-L262-360000</f>
        <v>-33793035</v>
      </c>
      <c r="K263" s="145" t="s">
        <v>5089</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5091</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5094</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5095</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5096</v>
      </c>
      <c r="L267" s="59">
        <v>1224332628</v>
      </c>
      <c r="M267" s="59">
        <v>781297921</v>
      </c>
      <c r="N267" s="147">
        <f t="shared" ref="N267:N281" si="35">L267+M267</f>
        <v>2005630549</v>
      </c>
      <c r="O267" s="3">
        <f t="shared" ref="O267:O281" si="36">M267-M266</f>
        <v>33970826</v>
      </c>
      <c r="P267" s="3">
        <f>N267-N266</f>
        <v>86709367</v>
      </c>
      <c r="Q267" s="153">
        <v>0</v>
      </c>
    </row>
    <row r="268" spans="9:19">
      <c r="I268" s="132" t="s">
        <v>5099</v>
      </c>
      <c r="J268" s="131">
        <f>L268-L267+3600000</f>
        <v>6784521</v>
      </c>
      <c r="K268" s="132" t="s">
        <v>5097</v>
      </c>
      <c r="L268" s="157">
        <v>1227517149</v>
      </c>
      <c r="M268" s="157">
        <v>781946723</v>
      </c>
      <c r="N268" s="147">
        <f>L268+M268</f>
        <v>2009463872</v>
      </c>
      <c r="O268" s="131">
        <f t="shared" si="36"/>
        <v>648802</v>
      </c>
      <c r="P268" s="131">
        <f>N268-N267+3600000</f>
        <v>7433323</v>
      </c>
      <c r="Q268" s="153">
        <v>-3600000</v>
      </c>
    </row>
    <row r="269" spans="9:19">
      <c r="I269" s="145" t="s">
        <v>5101</v>
      </c>
      <c r="J269" s="163">
        <f t="shared" si="34"/>
        <v>8668842</v>
      </c>
      <c r="K269" s="145" t="s">
        <v>5098</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5103</v>
      </c>
      <c r="L270" s="59">
        <v>1295586377</v>
      </c>
      <c r="M270" s="59">
        <v>830602955</v>
      </c>
      <c r="N270" s="147">
        <f t="shared" si="35"/>
        <v>2126189332</v>
      </c>
      <c r="O270" s="3">
        <f t="shared" si="36"/>
        <v>39667491</v>
      </c>
      <c r="P270" s="3">
        <f>N270-N269</f>
        <v>99067877</v>
      </c>
      <c r="Q270" s="153">
        <v>0</v>
      </c>
    </row>
    <row r="271" spans="9:19">
      <c r="I271" s="132" t="s">
        <v>5105</v>
      </c>
      <c r="J271" s="131">
        <f>L271-L270+1000000</f>
        <v>21062163</v>
      </c>
      <c r="K271" s="132" t="s">
        <v>5104</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5107</v>
      </c>
      <c r="L272" s="59">
        <v>1290000000</v>
      </c>
      <c r="M272" s="59">
        <v>830000000</v>
      </c>
      <c r="N272" s="3">
        <f t="shared" si="35"/>
        <v>2120000000</v>
      </c>
      <c r="O272" s="3">
        <f t="shared" si="36"/>
        <v>-7889920</v>
      </c>
      <c r="P272" s="3">
        <f>N272-N271</f>
        <v>-33538460</v>
      </c>
    </row>
    <row r="273" spans="4:23">
      <c r="I273" s="2"/>
      <c r="J273" s="3">
        <f t="shared" si="34"/>
        <v>5173477</v>
      </c>
      <c r="K273" s="2" t="s">
        <v>5110</v>
      </c>
      <c r="L273" s="59">
        <v>1295173477</v>
      </c>
      <c r="M273" s="59">
        <v>832119130</v>
      </c>
      <c r="N273" s="3">
        <f t="shared" si="35"/>
        <v>2127292607</v>
      </c>
      <c r="O273" s="3">
        <f t="shared" si="36"/>
        <v>2119130</v>
      </c>
      <c r="P273" s="3">
        <f>N273-N272</f>
        <v>7292607</v>
      </c>
    </row>
    <row r="274" spans="4:23">
      <c r="D274" t="s">
        <v>25</v>
      </c>
      <c r="I274" s="145" t="s">
        <v>5090</v>
      </c>
      <c r="J274" s="163">
        <f>L274-L273-360000</f>
        <v>-3379409</v>
      </c>
      <c r="K274" s="145" t="s">
        <v>5111</v>
      </c>
      <c r="L274" s="164">
        <v>1292154068</v>
      </c>
      <c r="M274" s="164">
        <v>833033746</v>
      </c>
      <c r="N274" s="163">
        <f t="shared" si="35"/>
        <v>2125187814</v>
      </c>
      <c r="O274" s="163">
        <f t="shared" si="36"/>
        <v>914616</v>
      </c>
      <c r="P274" s="163">
        <f>N274-N273-360000</f>
        <v>-2464793</v>
      </c>
      <c r="Q274" s="153">
        <v>360000</v>
      </c>
    </row>
    <row r="275" spans="4:23">
      <c r="I275" s="145" t="s">
        <v>5115</v>
      </c>
      <c r="J275" s="163">
        <f>L275-L274-2000000</f>
        <v>-22946012</v>
      </c>
      <c r="K275" s="145" t="s">
        <v>5114</v>
      </c>
      <c r="L275" s="164">
        <v>1271208056</v>
      </c>
      <c r="M275" s="164">
        <v>825161254</v>
      </c>
      <c r="N275" s="163">
        <f t="shared" si="35"/>
        <v>2096369310</v>
      </c>
      <c r="O275" s="163">
        <f t="shared" si="36"/>
        <v>-7872492</v>
      </c>
      <c r="P275" s="163">
        <f>N275-N274-2000000</f>
        <v>-30818504</v>
      </c>
      <c r="Q275" s="153">
        <v>2000000</v>
      </c>
    </row>
    <row r="276" spans="4:23">
      <c r="I276" s="145" t="s">
        <v>5117</v>
      </c>
      <c r="J276" s="163">
        <f>L276-L275-15300000</f>
        <v>32802006</v>
      </c>
      <c r="K276" s="145" t="s">
        <v>5116</v>
      </c>
      <c r="L276" s="164">
        <v>1319310062</v>
      </c>
      <c r="M276" s="164">
        <v>846171439</v>
      </c>
      <c r="N276" s="163">
        <f t="shared" si="35"/>
        <v>2165481501</v>
      </c>
      <c r="O276" s="163">
        <f>M276-M275-200000</f>
        <v>20810185</v>
      </c>
      <c r="P276" s="163">
        <f>N276-N275-15500000</f>
        <v>53612191</v>
      </c>
      <c r="Q276" s="153">
        <v>15500000</v>
      </c>
    </row>
    <row r="277" spans="4:23">
      <c r="I277" s="145" t="s">
        <v>5120</v>
      </c>
      <c r="J277" s="163">
        <f>L277-L276-3000000</f>
        <v>12429762</v>
      </c>
      <c r="K277" s="145" t="s">
        <v>5119</v>
      </c>
      <c r="L277" s="164">
        <v>1334739824</v>
      </c>
      <c r="M277" s="164">
        <v>848815156</v>
      </c>
      <c r="N277" s="147">
        <f t="shared" si="35"/>
        <v>2183554980</v>
      </c>
      <c r="O277" s="163">
        <f>M277-M276-50000</f>
        <v>2593717</v>
      </c>
      <c r="P277" s="163">
        <f>N277-N276-3050000</f>
        <v>15023479</v>
      </c>
      <c r="Q277" s="153">
        <v>3050000</v>
      </c>
    </row>
    <row r="278" spans="4:23">
      <c r="I278" s="145" t="s">
        <v>5122</v>
      </c>
      <c r="J278" s="163">
        <f>L278-L277-1680000</f>
        <v>-15903030</v>
      </c>
      <c r="K278" s="145" t="s">
        <v>5121</v>
      </c>
      <c r="L278" s="164">
        <v>1320516794</v>
      </c>
      <c r="M278" s="164">
        <v>834312363</v>
      </c>
      <c r="N278" s="163">
        <f t="shared" si="35"/>
        <v>2154829157</v>
      </c>
      <c r="O278" s="163">
        <f>M278-M277-100000</f>
        <v>-14602793</v>
      </c>
      <c r="P278" s="163">
        <f>N278-N277-1600000</f>
        <v>-30325823</v>
      </c>
      <c r="Q278" s="153">
        <v>1780000</v>
      </c>
      <c r="S278" t="s">
        <v>25</v>
      </c>
    </row>
    <row r="279" spans="4:23">
      <c r="I279" s="145" t="s">
        <v>5124</v>
      </c>
      <c r="J279" s="163">
        <f>L279-L278-30000000</f>
        <v>3387493</v>
      </c>
      <c r="K279" s="145" t="s">
        <v>5123</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5129</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5130</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5133</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5136</v>
      </c>
      <c r="L284" s="59">
        <v>1473439379</v>
      </c>
      <c r="M284" s="59">
        <v>906774030</v>
      </c>
      <c r="N284" s="147">
        <f t="shared" si="38"/>
        <v>2380213409</v>
      </c>
      <c r="O284" s="3">
        <f t="shared" si="39"/>
        <v>14380845</v>
      </c>
      <c r="P284" s="3">
        <f t="shared" si="40"/>
        <v>32061881</v>
      </c>
      <c r="Q284" s="153">
        <v>0</v>
      </c>
    </row>
    <row r="285" spans="4:23">
      <c r="I285" s="132" t="s">
        <v>5139</v>
      </c>
      <c r="J285" s="131">
        <f t="shared" si="37"/>
        <v>4331396</v>
      </c>
      <c r="K285" s="132" t="s">
        <v>5137</v>
      </c>
      <c r="L285" s="157">
        <v>1477770775</v>
      </c>
      <c r="M285" s="157">
        <v>915475851</v>
      </c>
      <c r="N285" s="147">
        <f t="shared" si="38"/>
        <v>2393246626</v>
      </c>
      <c r="O285" s="131">
        <f>M285-M284+550000</f>
        <v>9251821</v>
      </c>
      <c r="P285" s="131">
        <f>N285-N284+550000</f>
        <v>13583217</v>
      </c>
      <c r="Q285" s="153">
        <v>-550000</v>
      </c>
    </row>
    <row r="286" spans="4:23">
      <c r="I286" s="132" t="s">
        <v>5143</v>
      </c>
      <c r="J286" s="131">
        <f t="shared" si="37"/>
        <v>39081054</v>
      </c>
      <c r="K286" s="132" t="s">
        <v>5141</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5142</v>
      </c>
      <c r="L287" s="59">
        <v>1560436105</v>
      </c>
      <c r="M287" s="59">
        <v>940791901</v>
      </c>
      <c r="N287" s="147">
        <f t="shared" si="38"/>
        <v>2501228006</v>
      </c>
      <c r="O287" s="3">
        <f t="shared" si="39"/>
        <v>35665189</v>
      </c>
      <c r="P287" s="3">
        <f t="shared" si="40"/>
        <v>79249465</v>
      </c>
      <c r="Q287" s="153">
        <v>0</v>
      </c>
    </row>
    <row r="288" spans="4:23">
      <c r="I288" s="132" t="s">
        <v>5151</v>
      </c>
      <c r="J288" s="131">
        <f t="shared" si="37"/>
        <v>83455296</v>
      </c>
      <c r="K288" s="132" t="s">
        <v>5150</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5153</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5157</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5162</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5171</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5194</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5193</v>
      </c>
      <c r="L294" s="59">
        <v>1775456973</v>
      </c>
      <c r="M294" s="59">
        <v>1056375788</v>
      </c>
      <c r="N294" s="147">
        <f t="shared" si="38"/>
        <v>2831832761</v>
      </c>
      <c r="O294" s="3">
        <f t="shared" si="39"/>
        <v>11375788</v>
      </c>
      <c r="P294" s="3">
        <f t="shared" si="40"/>
        <v>26832761</v>
      </c>
      <c r="Q294" s="153">
        <v>0</v>
      </c>
    </row>
    <row r="295" spans="9:21">
      <c r="I295" s="2" t="s">
        <v>5199</v>
      </c>
      <c r="J295" s="3">
        <f>L295-L294-3000000</f>
        <v>19422686</v>
      </c>
      <c r="K295" s="2" t="s">
        <v>5197</v>
      </c>
      <c r="L295" s="59">
        <v>1797879659</v>
      </c>
      <c r="M295" s="59">
        <v>1054864328</v>
      </c>
      <c r="N295" s="147">
        <f t="shared" si="38"/>
        <v>2852743987</v>
      </c>
      <c r="O295" s="3">
        <f t="shared" si="39"/>
        <v>-1511460</v>
      </c>
      <c r="P295" s="3">
        <f>N295-N294-3000000</f>
        <v>17911226</v>
      </c>
      <c r="Q295" s="153">
        <v>3000000</v>
      </c>
    </row>
    <row r="296" spans="9:21">
      <c r="I296" s="145" t="s">
        <v>5200</v>
      </c>
      <c r="J296" s="163">
        <f>L296-L295-7000000</f>
        <v>-47124934</v>
      </c>
      <c r="K296" s="145" t="s">
        <v>5198</v>
      </c>
      <c r="L296" s="164">
        <v>1757754725</v>
      </c>
      <c r="M296" s="164">
        <v>1037677810</v>
      </c>
      <c r="N296" s="163">
        <f t="shared" si="38"/>
        <v>2795432535</v>
      </c>
      <c r="O296" s="163">
        <f>M296-M295+4190000</f>
        <v>-12996518</v>
      </c>
      <c r="P296" s="163">
        <f>N296-N295+4190000-7000000</f>
        <v>-60121452</v>
      </c>
      <c r="Q296" s="153">
        <v>2810000</v>
      </c>
    </row>
    <row r="297" spans="9:21">
      <c r="I297" s="145" t="s">
        <v>5208</v>
      </c>
      <c r="J297" s="163">
        <f t="shared" si="37"/>
        <v>-53501669</v>
      </c>
      <c r="K297" s="145" t="s">
        <v>5202</v>
      </c>
      <c r="L297" s="164">
        <v>1704253056</v>
      </c>
      <c r="M297" s="164">
        <v>973497834</v>
      </c>
      <c r="N297" s="163">
        <f t="shared" si="38"/>
        <v>2677750890</v>
      </c>
      <c r="O297" s="163">
        <f>M297-M296+26000000</f>
        <v>-38179976</v>
      </c>
      <c r="P297" s="163">
        <f>N297-N296+26000000</f>
        <v>-91681645</v>
      </c>
      <c r="Q297" s="153">
        <v>-26000000</v>
      </c>
    </row>
    <row r="298" spans="9:21">
      <c r="I298" s="145" t="s">
        <v>5210</v>
      </c>
      <c r="J298" s="163">
        <f>L298-L297-8800000</f>
        <v>26691445</v>
      </c>
      <c r="K298" s="145" t="s">
        <v>5206</v>
      </c>
      <c r="L298" s="164">
        <v>1739744501</v>
      </c>
      <c r="M298" s="164">
        <v>914540569</v>
      </c>
      <c r="N298" s="163">
        <f t="shared" si="38"/>
        <v>2654285070</v>
      </c>
      <c r="O298" s="163">
        <f>M298-M297+81800000</f>
        <v>22842735</v>
      </c>
      <c r="P298" s="163">
        <f>N298-N297+73000000</f>
        <v>49534180</v>
      </c>
      <c r="Q298" s="153">
        <v>-73000000</v>
      </c>
    </row>
    <row r="299" spans="9:21">
      <c r="I299" s="145" t="s">
        <v>5213</v>
      </c>
      <c r="J299" s="163">
        <f t="shared" si="37"/>
        <v>32696702</v>
      </c>
      <c r="K299" s="145" t="s">
        <v>5207</v>
      </c>
      <c r="L299" s="164">
        <v>1772441203</v>
      </c>
      <c r="M299" s="164">
        <v>900025831</v>
      </c>
      <c r="N299" s="163">
        <f t="shared" si="38"/>
        <v>2672467034</v>
      </c>
      <c r="O299" s="163">
        <f>M299-M298+34000000</f>
        <v>19485262</v>
      </c>
      <c r="P299" s="163">
        <f>N299-N298+34000000</f>
        <v>52181964</v>
      </c>
      <c r="Q299" s="153">
        <v>-34000000</v>
      </c>
    </row>
    <row r="300" spans="9:21">
      <c r="I300" s="132" t="s">
        <v>5215</v>
      </c>
      <c r="J300" s="131">
        <f>L300-L299-40000000</f>
        <v>74215198</v>
      </c>
      <c r="K300" s="132" t="s">
        <v>5211</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5027</v>
      </c>
      <c r="J301" s="131">
        <f t="shared" si="37"/>
        <v>39912599</v>
      </c>
      <c r="K301" s="132" t="s">
        <v>5212</v>
      </c>
      <c r="L301" s="157">
        <v>1926569000</v>
      </c>
      <c r="M301" s="157">
        <v>959442000</v>
      </c>
      <c r="N301" s="147">
        <f t="shared" si="38"/>
        <v>2886011000</v>
      </c>
      <c r="O301" s="131">
        <f>M301-M300-300000</f>
        <v>21646377</v>
      </c>
      <c r="P301" s="131">
        <f>N301-N300-300000</f>
        <v>61558976</v>
      </c>
      <c r="Q301" s="153">
        <v>300000</v>
      </c>
    </row>
    <row r="302" spans="9:21">
      <c r="I302" s="132" t="s">
        <v>5221</v>
      </c>
      <c r="J302" s="131">
        <f t="shared" si="37"/>
        <v>-55865388</v>
      </c>
      <c r="K302" s="132" t="s">
        <v>5220</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5222</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5223</v>
      </c>
      <c r="L304" s="59">
        <v>1773000000</v>
      </c>
      <c r="M304" s="59">
        <v>879000000</v>
      </c>
      <c r="N304" s="3">
        <f t="shared" si="38"/>
        <v>2652000000</v>
      </c>
      <c r="O304" s="3">
        <f t="shared" si="39"/>
        <v>217170</v>
      </c>
      <c r="P304" s="3">
        <f t="shared" si="40"/>
        <v>-212651</v>
      </c>
      <c r="Q304" s="153">
        <v>0</v>
      </c>
    </row>
    <row r="305" spans="9:17">
      <c r="I305" s="2" t="s">
        <v>5225</v>
      </c>
      <c r="J305" s="3">
        <f>L305-L304-400000</f>
        <v>-400000</v>
      </c>
      <c r="K305" s="2" t="s">
        <v>5224</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5231</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5244</v>
      </c>
      <c r="L307" s="59">
        <v>1627606378</v>
      </c>
      <c r="M307" s="59">
        <v>802901457</v>
      </c>
      <c r="N307" s="3">
        <f t="shared" si="38"/>
        <v>2430507835</v>
      </c>
      <c r="O307" s="3">
        <f t="shared" si="39"/>
        <v>21798585</v>
      </c>
      <c r="P307" s="3">
        <f t="shared" si="40"/>
        <v>63329771</v>
      </c>
      <c r="Q307" s="153">
        <v>0</v>
      </c>
    </row>
    <row r="308" spans="9:17">
      <c r="I308" s="2" t="s">
        <v>5246</v>
      </c>
      <c r="J308" s="3">
        <f>L308-L307+968000</f>
        <v>30858637</v>
      </c>
      <c r="K308" s="2" t="s">
        <v>5245</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5247</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5248</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5250</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5251</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5252</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5253</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5254</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5255</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5256</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5257</v>
      </c>
      <c r="L318" s="59">
        <v>2260584534</v>
      </c>
      <c r="M318" s="59">
        <v>1120314374</v>
      </c>
      <c r="N318" s="147">
        <f t="shared" si="41"/>
        <v>3380898908</v>
      </c>
      <c r="O318" s="3">
        <f t="shared" si="42"/>
        <v>67266920</v>
      </c>
      <c r="P318" s="3">
        <f t="shared" si="43"/>
        <v>208542979</v>
      </c>
      <c r="Q318" s="153">
        <v>0</v>
      </c>
    </row>
    <row r="319" spans="9:17">
      <c r="I319" s="2" t="s">
        <v>5259</v>
      </c>
      <c r="J319" s="3">
        <f>L319-L318-3006000</f>
        <v>32865631</v>
      </c>
      <c r="K319" s="2" t="s">
        <v>5258</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5263</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5264</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5265</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5266</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5267</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5273</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5274</v>
      </c>
      <c r="L326" s="59">
        <v>2819979138</v>
      </c>
      <c r="M326" s="59">
        <v>1401539279</v>
      </c>
      <c r="N326" s="147">
        <f t="shared" si="41"/>
        <v>4221518417</v>
      </c>
      <c r="O326" s="3">
        <f t="shared" si="42"/>
        <v>13084171</v>
      </c>
      <c r="P326" s="3">
        <f t="shared" si="43"/>
        <v>39080100</v>
      </c>
      <c r="Q326" s="153">
        <v>0</v>
      </c>
    </row>
    <row r="327" spans="9:22">
      <c r="I327" s="2" t="s">
        <v>5277</v>
      </c>
      <c r="J327" s="3">
        <f>L327-L326+130382924</f>
        <v>36685298</v>
      </c>
      <c r="K327" s="2" t="s">
        <v>5276</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5275</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5278</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5279</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5283</v>
      </c>
      <c r="J332" s="131">
        <f>L332-L331-125000000</f>
        <v>154015802</v>
      </c>
      <c r="K332" s="132" t="s">
        <v>5159</v>
      </c>
      <c r="L332" s="157">
        <v>3877711355</v>
      </c>
      <c r="M332" s="157">
        <v>1868422520</v>
      </c>
      <c r="N332" s="147">
        <f t="shared" si="44"/>
        <v>5746133875</v>
      </c>
      <c r="O332" s="131">
        <f t="shared" si="45"/>
        <v>77900986</v>
      </c>
      <c r="P332" s="131">
        <f>N332-N331-125000000</f>
        <v>231916788</v>
      </c>
      <c r="Q332" s="153">
        <v>125000000</v>
      </c>
    </row>
    <row r="333" spans="9:22">
      <c r="I333" s="132" t="s">
        <v>5284</v>
      </c>
      <c r="J333" s="131">
        <f>L333-L332-7200000</f>
        <v>-108573535</v>
      </c>
      <c r="K333" s="132" t="s">
        <v>5280</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5286</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5287</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5288</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5289</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5290</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5292</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5293</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5294</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5295</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5296</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5297</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5301</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5306</v>
      </c>
      <c r="L346" s="59">
        <v>3220000000</v>
      </c>
      <c r="M346" s="59">
        <v>1580000000</v>
      </c>
      <c r="N346" s="3">
        <f t="shared" si="44"/>
        <v>4800000000</v>
      </c>
      <c r="O346" s="3">
        <f t="shared" si="45"/>
        <v>16994429</v>
      </c>
      <c r="P346" s="3">
        <f t="shared" si="46"/>
        <v>32497144</v>
      </c>
      <c r="Q346" s="153">
        <v>0</v>
      </c>
    </row>
    <row r="347" spans="9:19">
      <c r="I347" s="132" t="s">
        <v>5312</v>
      </c>
      <c r="J347" s="131">
        <f>L347-L346-50000000</f>
        <v>30000000</v>
      </c>
      <c r="K347" s="132" t="s">
        <v>5307</v>
      </c>
      <c r="L347" s="157">
        <v>3300000000</v>
      </c>
      <c r="M347" s="157">
        <v>1600000000</v>
      </c>
      <c r="N347" s="131">
        <f t="shared" si="44"/>
        <v>4900000000</v>
      </c>
      <c r="O347" s="131">
        <f t="shared" si="45"/>
        <v>20000000</v>
      </c>
      <c r="P347" s="131">
        <f>N347-N346-50000000</f>
        <v>50000000</v>
      </c>
      <c r="Q347" s="153">
        <v>50000000</v>
      </c>
    </row>
    <row r="348" spans="9:19">
      <c r="I348" s="132" t="s">
        <v>5313</v>
      </c>
      <c r="J348" s="131">
        <f t="shared" si="37"/>
        <v>79324490</v>
      </c>
      <c r="K348" s="132" t="s">
        <v>5308</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5316</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5317</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5318</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5320</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5321</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5322</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5323</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5324</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5325</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5326</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5327</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5328</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5331</v>
      </c>
      <c r="L361" s="59">
        <v>4730000000</v>
      </c>
      <c r="M361" s="59">
        <v>2276000000</v>
      </c>
      <c r="N361" s="198">
        <f t="shared" si="44"/>
        <v>7006000000</v>
      </c>
      <c r="O361" s="3">
        <f t="shared" si="45"/>
        <v>9599335.7503376007</v>
      </c>
      <c r="P361" s="3">
        <f t="shared" si="46"/>
        <v>37003184.750337601</v>
      </c>
      <c r="Q361" s="153">
        <v>0</v>
      </c>
    </row>
    <row r="362" spans="9:21">
      <c r="I362" s="145" t="s">
        <v>5333</v>
      </c>
      <c r="J362" s="163">
        <f>L362-L361+58196600</f>
        <v>79816926</v>
      </c>
      <c r="K362" s="145" t="s">
        <v>5332</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5334</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5336</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5338</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5339</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5342</v>
      </c>
      <c r="L367" s="59">
        <v>5620000000</v>
      </c>
      <c r="M367" s="59">
        <v>2670000000</v>
      </c>
      <c r="N367" s="3">
        <f t="shared" si="44"/>
        <v>8290000000</v>
      </c>
      <c r="O367" s="3">
        <f t="shared" si="47"/>
        <v>-19938073</v>
      </c>
      <c r="P367" s="3">
        <f t="shared" si="48"/>
        <v>-63769642</v>
      </c>
      <c r="S367" t="s">
        <v>25</v>
      </c>
    </row>
    <row r="368" spans="9:21">
      <c r="I368" s="132" t="s">
        <v>5344</v>
      </c>
      <c r="J368" s="131">
        <f t="shared" si="37"/>
        <v>-39749235</v>
      </c>
      <c r="K368" s="132" t="s">
        <v>5343</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5348</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5349</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5350</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5351</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5352</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5353</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5356</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5357</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5366</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5372</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5373</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5378</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5381</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5382</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5386</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5390</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5392</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5393</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5394</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5395</v>
      </c>
      <c r="L389" s="59">
        <v>6126666000</v>
      </c>
      <c r="M389" s="59">
        <v>3341157354</v>
      </c>
      <c r="N389" s="3">
        <f t="shared" si="44"/>
        <v>9467823354</v>
      </c>
      <c r="O389" s="3">
        <f t="shared" si="49"/>
        <v>26757796</v>
      </c>
      <c r="P389" s="3">
        <f t="shared" si="50"/>
        <v>-44095692</v>
      </c>
      <c r="Q389" s="153">
        <v>0</v>
      </c>
    </row>
    <row r="390" spans="9:21">
      <c r="I390" s="186" t="s">
        <v>5401</v>
      </c>
      <c r="J390" s="68">
        <f>L390-L389+98469400</f>
        <v>113425690</v>
      </c>
      <c r="K390" s="186" t="s">
        <v>5385</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5383</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5402</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5403</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5404</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5406</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5407</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5408</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5384</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5409</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5410</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5412</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5413</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5414</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5415</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5416</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5418</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5419</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5420</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5423</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5424</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5425</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5426</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5427</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5428</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5429</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5430</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5432</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5433</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5434</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5436</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5437</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5438</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5449</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5450</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5452</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5454</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5455</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5457</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5460</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5462</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5464</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5465</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5466</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5467</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5468</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5469</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5470</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5471</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5472</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5474</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5475</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5476</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5481</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5482</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5483</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5493</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5492</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5491</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5485</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5488</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5489</v>
      </c>
      <c r="L453" s="59">
        <v>4500000000</v>
      </c>
      <c r="M453" s="59">
        <v>2500000000</v>
      </c>
      <c r="N453" s="3">
        <f t="shared" si="52"/>
        <v>7000000000</v>
      </c>
      <c r="O453" s="3">
        <f t="shared" si="55"/>
        <v>-100000000</v>
      </c>
      <c r="P453" s="3">
        <f t="shared" si="56"/>
        <v>-200000000</v>
      </c>
      <c r="Q453" s="153">
        <v>0</v>
      </c>
    </row>
    <row r="454" spans="9:21">
      <c r="I454" s="132" t="s">
        <v>5495</v>
      </c>
      <c r="J454" s="131">
        <f>L454-L453-260000000</f>
        <v>-241879353</v>
      </c>
      <c r="K454" s="132" t="s">
        <v>5490</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5494</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5496</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5497</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5498</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5499</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5502</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5503</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5504</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5505</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5506</v>
      </c>
      <c r="L464" s="59">
        <v>5684600946</v>
      </c>
      <c r="M464" s="59">
        <v>3223570500</v>
      </c>
      <c r="N464" s="3">
        <f t="shared" si="57"/>
        <v>8908171446</v>
      </c>
      <c r="O464" s="3">
        <f t="shared" si="58"/>
        <v>146480670</v>
      </c>
      <c r="P464" s="3">
        <f t="shared" si="59"/>
        <v>445129043</v>
      </c>
      <c r="Q464" s="153">
        <v>0</v>
      </c>
    </row>
    <row r="465" spans="9:19">
      <c r="I465" s="132" t="s">
        <v>5508</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5511</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5512</v>
      </c>
      <c r="L467" s="59">
        <v>6143888625</v>
      </c>
      <c r="M467" s="59">
        <v>3526728170</v>
      </c>
      <c r="N467" s="3">
        <f t="shared" si="57"/>
        <v>9670616795</v>
      </c>
      <c r="O467" s="3">
        <f t="shared" si="58"/>
        <v>62523077</v>
      </c>
      <c r="P467" s="3">
        <f t="shared" si="59"/>
        <v>145542848</v>
      </c>
      <c r="Q467" s="153">
        <v>0</v>
      </c>
    </row>
    <row r="468" spans="9:19">
      <c r="I468" s="2" t="s">
        <v>5514</v>
      </c>
      <c r="J468" s="3">
        <f>L468-L467-20000</f>
        <v>-31443260</v>
      </c>
      <c r="K468" s="2" t="s">
        <v>5513</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5516</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5517</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5518</v>
      </c>
      <c r="L471" s="59">
        <v>6013616539</v>
      </c>
      <c r="M471" s="59">
        <v>3413915060</v>
      </c>
      <c r="N471" s="3">
        <f t="shared" si="57"/>
        <v>9427531599</v>
      </c>
      <c r="O471" s="3">
        <f t="shared" si="58"/>
        <v>-132100286</v>
      </c>
      <c r="P471" s="3">
        <f t="shared" si="59"/>
        <v>-358771555</v>
      </c>
      <c r="Q471" s="153">
        <v>0</v>
      </c>
      <c r="R471" t="s">
        <v>25</v>
      </c>
    </row>
    <row r="472" spans="9:19">
      <c r="I472" s="2" t="s">
        <v>5520</v>
      </c>
      <c r="J472" s="3">
        <f>L472-L471-70000</f>
        <v>-63686539</v>
      </c>
      <c r="K472" s="2" t="s">
        <v>5519</v>
      </c>
      <c r="L472" s="59">
        <v>5950000000</v>
      </c>
      <c r="M472" s="59">
        <v>3380000000</v>
      </c>
      <c r="N472" s="3">
        <f t="shared" si="57"/>
        <v>9330000000</v>
      </c>
      <c r="O472" s="3">
        <f>M472-M471-70000</f>
        <v>-33985060</v>
      </c>
      <c r="P472" s="3">
        <f>N472-N471-140000</f>
        <v>-97671599</v>
      </c>
      <c r="Q472" s="153">
        <v>140000</v>
      </c>
    </row>
    <row r="473" spans="9:19">
      <c r="I473" s="2" t="s">
        <v>5526</v>
      </c>
      <c r="J473" s="3">
        <f>L473-L472-330000</f>
        <v>-62693116</v>
      </c>
      <c r="K473" s="2" t="s">
        <v>5525</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5528</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5535</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67" t="s">
        <v>6072</v>
      </c>
      <c r="C1" s="567"/>
      <c r="D1" s="567" t="s">
        <v>6073</v>
      </c>
      <c r="E1" s="567"/>
      <c r="G1" s="22"/>
      <c r="R1" s="11" t="s">
        <v>5364</v>
      </c>
      <c r="S1" s="11"/>
      <c r="T1" s="11" t="s">
        <v>870</v>
      </c>
      <c r="U1" s="11" t="s">
        <v>6063</v>
      </c>
      <c r="V1" s="11"/>
      <c r="W1" s="11" t="s">
        <v>870</v>
      </c>
      <c r="X1" s="11" t="s">
        <v>6064</v>
      </c>
      <c r="Y1" s="11"/>
      <c r="Z1" s="11" t="s">
        <v>873</v>
      </c>
      <c r="AA1" s="11" t="s">
        <v>5</v>
      </c>
      <c r="AB1" s="11" t="s">
        <v>6065</v>
      </c>
      <c r="AD1" t="s">
        <v>6066</v>
      </c>
    </row>
    <row r="2" spans="1:30">
      <c r="A2" s="209" t="s">
        <v>3557</v>
      </c>
      <c r="B2" s="209" t="s">
        <v>180</v>
      </c>
      <c r="C2" s="209" t="s">
        <v>6074</v>
      </c>
      <c r="D2" s="209" t="s">
        <v>6075</v>
      </c>
      <c r="E2" s="209" t="s">
        <v>6076</v>
      </c>
      <c r="F2" s="209" t="s">
        <v>5181</v>
      </c>
      <c r="G2" s="22"/>
      <c r="H2" s="209" t="s">
        <v>4037</v>
      </c>
      <c r="I2" s="209" t="s">
        <v>5</v>
      </c>
      <c r="R2" s="11" t="s">
        <v>5357</v>
      </c>
      <c r="S2" s="11" t="s">
        <v>6062</v>
      </c>
      <c r="T2" s="11">
        <v>17800</v>
      </c>
      <c r="U2" s="11">
        <v>916</v>
      </c>
      <c r="V2" s="11" t="s">
        <v>4266</v>
      </c>
      <c r="W2" s="11">
        <v>16472</v>
      </c>
      <c r="X2" s="11">
        <v>916</v>
      </c>
      <c r="Y2" s="11"/>
      <c r="Z2" s="26">
        <v>987467</v>
      </c>
      <c r="AA2" s="26">
        <f>Z2/2</f>
        <v>493733.5</v>
      </c>
      <c r="AB2" s="11" t="s">
        <v>5357</v>
      </c>
      <c r="AD2">
        <v>1086</v>
      </c>
    </row>
    <row r="3" spans="1:30" ht="72.75" customHeight="1">
      <c r="A3" s="218">
        <v>2</v>
      </c>
      <c r="B3" s="218" t="s">
        <v>6142</v>
      </c>
      <c r="C3" s="218" t="s">
        <v>6143</v>
      </c>
      <c r="D3" s="218">
        <v>0</v>
      </c>
      <c r="E3" s="218">
        <v>426136788</v>
      </c>
      <c r="F3" s="218">
        <v>1153060652</v>
      </c>
      <c r="G3" s="22"/>
      <c r="H3" s="7">
        <v>1230000</v>
      </c>
      <c r="I3" s="7">
        <f>H3/2</f>
        <v>615000</v>
      </c>
      <c r="J3" t="s">
        <v>6145</v>
      </c>
      <c r="R3" s="197" t="s">
        <v>5536</v>
      </c>
      <c r="S3" s="220" t="s">
        <v>6141</v>
      </c>
      <c r="T3" s="197">
        <v>21532</v>
      </c>
      <c r="U3" s="197">
        <v>1859</v>
      </c>
      <c r="V3" s="199" t="s">
        <v>6069</v>
      </c>
      <c r="W3" s="199">
        <v>1187</v>
      </c>
      <c r="X3" s="199">
        <f t="shared" ref="X3:X9" si="0">T3*U3*0.99114/(W3*1.0037158)</f>
        <v>33299.467209851166</v>
      </c>
      <c r="Y3" s="199">
        <f t="shared" ref="Y3:Y9" si="1">T3/W3</f>
        <v>18.139848357203032</v>
      </c>
      <c r="Z3" s="26">
        <v>0</v>
      </c>
      <c r="AA3" s="26">
        <f t="shared" ref="AA3:AA9" si="2">Z3/2</f>
        <v>0</v>
      </c>
      <c r="AB3" s="11" t="s">
        <v>6061</v>
      </c>
    </row>
    <row r="4" spans="1:30">
      <c r="A4" s="36">
        <v>3</v>
      </c>
      <c r="B4" s="36" t="s">
        <v>6142</v>
      </c>
      <c r="C4" s="36" t="s">
        <v>6144</v>
      </c>
      <c r="D4" s="36">
        <v>0</v>
      </c>
      <c r="E4" s="36">
        <v>259688196</v>
      </c>
      <c r="F4" s="36">
        <v>1412748848</v>
      </c>
      <c r="G4" s="22"/>
      <c r="H4" s="7"/>
      <c r="I4" s="7"/>
      <c r="R4" s="197" t="s">
        <v>5538</v>
      </c>
      <c r="S4" s="197" t="s">
        <v>6068</v>
      </c>
      <c r="T4" s="197">
        <v>22420.1</v>
      </c>
      <c r="U4" s="204">
        <v>1000</v>
      </c>
      <c r="V4" s="199" t="s">
        <v>6070</v>
      </c>
      <c r="W4" s="199">
        <v>1161</v>
      </c>
      <c r="X4" s="199">
        <f t="shared" si="0"/>
        <v>19069.072437793271</v>
      </c>
      <c r="Y4" s="199">
        <f t="shared" si="1"/>
        <v>19.311024978466836</v>
      </c>
      <c r="Z4" s="26">
        <v>19462210</v>
      </c>
      <c r="AA4" s="26">
        <f t="shared" si="2"/>
        <v>9731105</v>
      </c>
      <c r="AB4" s="11" t="s">
        <v>6058</v>
      </c>
    </row>
    <row r="5" spans="1:30">
      <c r="A5" s="219"/>
      <c r="B5" s="210" t="s">
        <v>6077</v>
      </c>
      <c r="C5" s="210" t="s">
        <v>6078</v>
      </c>
      <c r="D5" s="210">
        <v>0</v>
      </c>
      <c r="E5" s="210">
        <v>1545379960</v>
      </c>
      <c r="F5" s="210">
        <v>1545486874</v>
      </c>
      <c r="G5" s="22"/>
      <c r="H5" s="7">
        <f>(E5-D7)/10</f>
        <v>19462210.699999999</v>
      </c>
      <c r="I5" s="7">
        <f>H5/2</f>
        <v>9731105.3499999996</v>
      </c>
      <c r="R5" s="197" t="s">
        <v>5539</v>
      </c>
      <c r="S5" s="197" t="s">
        <v>6068</v>
      </c>
      <c r="T5" s="197">
        <v>23233.1</v>
      </c>
      <c r="U5" s="204">
        <v>1000</v>
      </c>
      <c r="V5" s="199" t="s">
        <v>6070</v>
      </c>
      <c r="W5" s="199">
        <v>1152</v>
      </c>
      <c r="X5" s="199">
        <f t="shared" si="0"/>
        <v>19914.936480069027</v>
      </c>
      <c r="Y5" s="199">
        <f t="shared" si="1"/>
        <v>20.167621527777776</v>
      </c>
      <c r="Z5" s="26">
        <v>0</v>
      </c>
      <c r="AA5" s="26">
        <f t="shared" si="2"/>
        <v>0</v>
      </c>
      <c r="AB5" s="11" t="s">
        <v>6058</v>
      </c>
    </row>
    <row r="6" spans="1:30">
      <c r="A6" s="209"/>
      <c r="B6" s="211" t="s">
        <v>6077</v>
      </c>
      <c r="C6" s="211" t="s">
        <v>6079</v>
      </c>
      <c r="D6" s="211">
        <v>0</v>
      </c>
      <c r="E6" s="211">
        <v>32194843</v>
      </c>
      <c r="F6" s="211">
        <v>1577681717</v>
      </c>
      <c r="G6" s="22"/>
      <c r="H6" s="7">
        <f>E6/10</f>
        <v>3219484.3</v>
      </c>
      <c r="I6" s="7">
        <f>H6/2</f>
        <v>1609742.15</v>
      </c>
      <c r="R6" s="197" t="s">
        <v>5541</v>
      </c>
      <c r="S6" s="197" t="s">
        <v>6068</v>
      </c>
      <c r="T6" s="197">
        <v>23900</v>
      </c>
      <c r="U6" s="204">
        <v>1000</v>
      </c>
      <c r="V6" s="199" t="s">
        <v>6071</v>
      </c>
      <c r="W6" s="199">
        <v>1153</v>
      </c>
      <c r="X6" s="199">
        <f t="shared" si="0"/>
        <v>20468.821398374203</v>
      </c>
      <c r="Y6" s="199">
        <f t="shared" si="1"/>
        <v>20.7285342584562</v>
      </c>
      <c r="Z6" s="26">
        <v>0</v>
      </c>
      <c r="AA6" s="26">
        <f t="shared" si="2"/>
        <v>0</v>
      </c>
      <c r="AB6" s="11" t="s">
        <v>6058</v>
      </c>
    </row>
    <row r="7" spans="1:30">
      <c r="A7" s="219"/>
      <c r="B7" s="210" t="s">
        <v>6077</v>
      </c>
      <c r="C7" s="210" t="s">
        <v>6080</v>
      </c>
      <c r="D7" s="210">
        <v>1350757853</v>
      </c>
      <c r="E7" s="210">
        <v>0</v>
      </c>
      <c r="F7" s="210">
        <v>226923864</v>
      </c>
      <c r="G7" s="22"/>
      <c r="H7" s="7"/>
      <c r="I7" s="7"/>
      <c r="R7" s="197" t="s">
        <v>5546</v>
      </c>
      <c r="S7" s="197" t="s">
        <v>6068</v>
      </c>
      <c r="T7" s="197">
        <v>22500</v>
      </c>
      <c r="U7" s="204">
        <v>2000</v>
      </c>
      <c r="V7" s="199" t="s">
        <v>6070</v>
      </c>
      <c r="W7" s="199">
        <v>1093</v>
      </c>
      <c r="X7" s="199">
        <f t="shared" si="0"/>
        <v>40655.246136679802</v>
      </c>
      <c r="Y7" s="199">
        <f t="shared" si="1"/>
        <v>20.585544373284538</v>
      </c>
      <c r="Z7" s="26">
        <v>0</v>
      </c>
      <c r="AA7" s="26">
        <f t="shared" si="2"/>
        <v>0</v>
      </c>
      <c r="AB7" s="11" t="s">
        <v>6058</v>
      </c>
    </row>
    <row r="8" spans="1:30" ht="30">
      <c r="A8" s="36">
        <v>1</v>
      </c>
      <c r="B8" s="211" t="s">
        <v>6081</v>
      </c>
      <c r="C8" s="211" t="s">
        <v>6082</v>
      </c>
      <c r="D8" s="211">
        <v>0</v>
      </c>
      <c r="E8" s="211">
        <v>417254126</v>
      </c>
      <c r="F8" s="211">
        <v>417260507</v>
      </c>
      <c r="G8" s="22" t="s">
        <v>6083</v>
      </c>
      <c r="H8" s="7"/>
      <c r="I8" s="7"/>
      <c r="R8" s="197" t="s">
        <v>6048</v>
      </c>
      <c r="S8" s="197" t="s">
        <v>6067</v>
      </c>
      <c r="T8" s="197">
        <v>23706</v>
      </c>
      <c r="U8" s="204">
        <v>1000</v>
      </c>
      <c r="V8" s="199" t="s">
        <v>4134</v>
      </c>
      <c r="W8" s="199">
        <v>1155</v>
      </c>
      <c r="X8" s="199">
        <f t="shared" si="0"/>
        <v>20267.516662882761</v>
      </c>
      <c r="Y8" s="199">
        <f t="shared" si="1"/>
        <v>20.524675324675325</v>
      </c>
      <c r="Z8" s="26">
        <v>0</v>
      </c>
      <c r="AA8" s="26">
        <f t="shared" si="2"/>
        <v>0</v>
      </c>
      <c r="AB8" s="11" t="s">
        <v>6058</v>
      </c>
    </row>
    <row r="9" spans="1:30">
      <c r="A9" s="36">
        <v>2</v>
      </c>
      <c r="B9" s="211" t="s">
        <v>6081</v>
      </c>
      <c r="C9" s="211" t="s">
        <v>6084</v>
      </c>
      <c r="D9" s="211">
        <v>417153593</v>
      </c>
      <c r="E9" s="211">
        <v>0</v>
      </c>
      <c r="F9" s="211">
        <v>106914</v>
      </c>
      <c r="G9" s="22"/>
      <c r="H9" s="7"/>
      <c r="I9" s="7"/>
      <c r="R9" s="42" t="s">
        <v>6048</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6051</v>
      </c>
      <c r="AD9" t="s">
        <v>25</v>
      </c>
    </row>
    <row r="10" spans="1:30">
      <c r="A10" s="36">
        <v>3</v>
      </c>
      <c r="B10" s="210" t="s">
        <v>6085</v>
      </c>
      <c r="C10" s="212" t="s">
        <v>6086</v>
      </c>
      <c r="D10" s="212">
        <v>0</v>
      </c>
      <c r="E10" s="212">
        <v>234963645</v>
      </c>
      <c r="F10" s="212">
        <v>235147671</v>
      </c>
      <c r="G10" s="22"/>
      <c r="H10" s="7"/>
      <c r="I10" s="7"/>
    </row>
    <row r="11" spans="1:30">
      <c r="A11" s="211">
        <v>4</v>
      </c>
      <c r="B11" s="211" t="s">
        <v>6085</v>
      </c>
      <c r="C11" s="211" t="s">
        <v>6087</v>
      </c>
      <c r="D11" s="211">
        <v>0</v>
      </c>
      <c r="E11" s="211">
        <v>370711163</v>
      </c>
      <c r="F11" s="211">
        <v>605858834</v>
      </c>
      <c r="G11" s="22"/>
      <c r="H11" s="7"/>
      <c r="I11" s="7"/>
    </row>
    <row r="12" spans="1:30" ht="30">
      <c r="A12" s="211">
        <v>5</v>
      </c>
      <c r="B12" s="210" t="s">
        <v>6085</v>
      </c>
      <c r="C12" s="211" t="s">
        <v>6088</v>
      </c>
      <c r="D12" s="212">
        <v>605852453</v>
      </c>
      <c r="E12" s="212">
        <v>0</v>
      </c>
      <c r="F12" s="212">
        <v>6381</v>
      </c>
      <c r="G12" s="22" t="s">
        <v>6089</v>
      </c>
      <c r="H12" s="7"/>
      <c r="I12" s="7"/>
    </row>
    <row r="13" spans="1:30">
      <c r="A13" s="36">
        <v>11</v>
      </c>
      <c r="B13" s="36" t="s">
        <v>5978</v>
      </c>
      <c r="C13" s="36" t="s">
        <v>6090</v>
      </c>
      <c r="D13" s="36">
        <v>88258180</v>
      </c>
      <c r="E13" s="36">
        <v>0</v>
      </c>
      <c r="F13" s="36">
        <v>184108</v>
      </c>
      <c r="G13" s="22" t="s">
        <v>6091</v>
      </c>
      <c r="H13" s="7"/>
      <c r="I13" s="7"/>
    </row>
    <row r="14" spans="1:30">
      <c r="A14" s="213">
        <v>12</v>
      </c>
      <c r="B14" s="213" t="s">
        <v>6092</v>
      </c>
      <c r="C14" s="213" t="s">
        <v>6093</v>
      </c>
      <c r="D14" s="213">
        <v>0</v>
      </c>
      <c r="E14" s="213">
        <v>88371992</v>
      </c>
      <c r="F14" s="213">
        <v>88442288</v>
      </c>
      <c r="G14" s="22"/>
      <c r="H14" s="7"/>
      <c r="I14" s="7"/>
    </row>
    <row r="15" spans="1:30">
      <c r="A15" s="214">
        <v>15</v>
      </c>
      <c r="B15" s="210" t="s">
        <v>6094</v>
      </c>
      <c r="C15" s="214" t="s">
        <v>6095</v>
      </c>
      <c r="D15" s="214">
        <v>0</v>
      </c>
      <c r="E15" s="214">
        <v>446040000</v>
      </c>
      <c r="F15" s="214">
        <v>455337264</v>
      </c>
      <c r="G15" s="22"/>
      <c r="H15" s="7"/>
      <c r="I15" s="7"/>
    </row>
    <row r="16" spans="1:30">
      <c r="A16" s="36">
        <v>16</v>
      </c>
      <c r="B16" s="36" t="s">
        <v>6094</v>
      </c>
      <c r="C16" s="36" t="s">
        <v>6096</v>
      </c>
      <c r="D16" s="36">
        <v>0</v>
      </c>
      <c r="E16" s="36">
        <v>5458523</v>
      </c>
      <c r="F16" s="36">
        <v>460795787</v>
      </c>
      <c r="G16" s="22"/>
      <c r="H16" s="7"/>
      <c r="I16" s="7"/>
    </row>
    <row r="17" spans="1:9">
      <c r="A17" s="214">
        <v>17</v>
      </c>
      <c r="B17" s="210" t="s">
        <v>6094</v>
      </c>
      <c r="C17" s="214" t="s">
        <v>6097</v>
      </c>
      <c r="D17" s="214">
        <v>460784299</v>
      </c>
      <c r="E17" s="214">
        <v>0</v>
      </c>
      <c r="F17" s="214">
        <v>11488</v>
      </c>
      <c r="G17" s="22"/>
      <c r="H17" s="7"/>
      <c r="I17" s="7"/>
    </row>
    <row r="18" spans="1:9">
      <c r="A18" s="215">
        <v>19</v>
      </c>
      <c r="B18" s="210" t="s">
        <v>6098</v>
      </c>
      <c r="C18" s="215" t="s">
        <v>6099</v>
      </c>
      <c r="D18" s="215">
        <v>0</v>
      </c>
      <c r="E18" s="215">
        <v>236896800</v>
      </c>
      <c r="F18" s="215">
        <v>247051542</v>
      </c>
      <c r="G18" s="22"/>
      <c r="H18" s="7"/>
      <c r="I18" s="7"/>
    </row>
    <row r="19" spans="1:9">
      <c r="A19" s="215">
        <v>22</v>
      </c>
      <c r="B19" s="210" t="s">
        <v>6098</v>
      </c>
      <c r="C19" s="215" t="s">
        <v>6100</v>
      </c>
      <c r="D19" s="215">
        <v>244418699</v>
      </c>
      <c r="E19" s="215">
        <v>0</v>
      </c>
      <c r="F19" s="215">
        <v>8048350</v>
      </c>
      <c r="G19" s="22"/>
      <c r="H19" s="7"/>
      <c r="I19" s="7"/>
    </row>
    <row r="20" spans="1:9">
      <c r="A20" s="216">
        <v>23</v>
      </c>
      <c r="B20" s="210" t="s">
        <v>6101</v>
      </c>
      <c r="C20" s="216" t="s">
        <v>6102</v>
      </c>
      <c r="D20" s="216">
        <v>0</v>
      </c>
      <c r="E20" s="216">
        <v>230286491</v>
      </c>
      <c r="F20" s="216">
        <v>238422914</v>
      </c>
      <c r="G20" s="22"/>
      <c r="H20" s="7"/>
      <c r="I20" s="7"/>
    </row>
    <row r="21" spans="1:9">
      <c r="A21" s="216">
        <v>24</v>
      </c>
      <c r="B21" s="210" t="s">
        <v>6101</v>
      </c>
      <c r="C21" s="216" t="s">
        <v>6103</v>
      </c>
      <c r="D21" s="216">
        <v>228268172</v>
      </c>
      <c r="E21" s="216">
        <v>0</v>
      </c>
      <c r="F21" s="216">
        <v>10154742</v>
      </c>
      <c r="G21" s="22"/>
      <c r="H21" s="7"/>
      <c r="I21" s="7"/>
    </row>
    <row r="22" spans="1:9">
      <c r="A22" s="217">
        <v>25</v>
      </c>
      <c r="B22" s="210" t="s">
        <v>6104</v>
      </c>
      <c r="C22" s="217" t="s">
        <v>6105</v>
      </c>
      <c r="D22" s="217">
        <v>0</v>
      </c>
      <c r="E22" s="217">
        <v>222228038</v>
      </c>
      <c r="F22" s="217">
        <v>230347490</v>
      </c>
      <c r="G22" s="22"/>
      <c r="H22" s="7"/>
      <c r="I22" s="7"/>
    </row>
    <row r="23" spans="1:9">
      <c r="A23" s="217">
        <v>26</v>
      </c>
      <c r="B23" s="210" t="s">
        <v>6104</v>
      </c>
      <c r="C23" s="217" t="s">
        <v>6106</v>
      </c>
      <c r="D23" s="217">
        <v>222211067</v>
      </c>
      <c r="E23" s="217">
        <v>0</v>
      </c>
      <c r="F23" s="217">
        <v>8136423</v>
      </c>
      <c r="G23" s="22"/>
      <c r="H23" s="7"/>
      <c r="I23" s="7"/>
    </row>
    <row r="24" spans="1:9">
      <c r="A24" s="218">
        <v>27</v>
      </c>
      <c r="B24" s="218" t="s">
        <v>6107</v>
      </c>
      <c r="C24" s="218" t="s">
        <v>6108</v>
      </c>
      <c r="D24" s="218">
        <v>0</v>
      </c>
      <c r="E24" s="218">
        <v>396757423</v>
      </c>
      <c r="F24" s="218">
        <v>404903981</v>
      </c>
      <c r="G24" s="22"/>
      <c r="H24" s="7"/>
      <c r="I24" s="7"/>
    </row>
    <row r="25" spans="1:9" ht="30">
      <c r="A25" s="218">
        <v>28</v>
      </c>
      <c r="B25" s="218" t="s">
        <v>6107</v>
      </c>
      <c r="C25" s="218" t="s">
        <v>6109</v>
      </c>
      <c r="D25" s="218">
        <v>396784529</v>
      </c>
      <c r="E25" s="218">
        <v>0</v>
      </c>
      <c r="F25" s="218">
        <v>8119452</v>
      </c>
      <c r="G25" s="22" t="s">
        <v>6110</v>
      </c>
      <c r="H25" s="7"/>
      <c r="I25" s="7"/>
    </row>
    <row r="26" spans="1:9">
      <c r="A26" s="36">
        <v>41</v>
      </c>
      <c r="B26" s="36" t="s">
        <v>6111</v>
      </c>
      <c r="C26" s="36" t="s">
        <v>6112</v>
      </c>
      <c r="D26" s="36">
        <v>9935956</v>
      </c>
      <c r="E26" s="36">
        <v>0</v>
      </c>
      <c r="F26" s="36">
        <v>4150875</v>
      </c>
      <c r="G26" s="22"/>
      <c r="H26" s="7"/>
      <c r="I26" s="7"/>
    </row>
    <row r="27" spans="1:9" ht="30">
      <c r="A27" s="213">
        <v>46</v>
      </c>
      <c r="B27" s="213" t="s">
        <v>6113</v>
      </c>
      <c r="C27" s="213" t="s">
        <v>6114</v>
      </c>
      <c r="D27" s="213">
        <v>13072</v>
      </c>
      <c r="E27" s="213">
        <v>0</v>
      </c>
      <c r="F27" s="213">
        <v>4639060</v>
      </c>
      <c r="G27" s="22" t="s">
        <v>6115</v>
      </c>
      <c r="H27" s="7"/>
      <c r="I27" s="7"/>
    </row>
    <row r="28" spans="1:9">
      <c r="A28" s="36">
        <v>59</v>
      </c>
      <c r="B28" s="36" t="s">
        <v>6116</v>
      </c>
      <c r="C28" s="36" t="s">
        <v>6117</v>
      </c>
      <c r="D28" s="36">
        <v>0</v>
      </c>
      <c r="E28" s="36">
        <v>2339234</v>
      </c>
      <c r="F28" s="36">
        <v>2355939</v>
      </c>
      <c r="G28" s="22"/>
      <c r="H28" s="7"/>
      <c r="I28" s="7"/>
    </row>
    <row r="29" spans="1:9">
      <c r="A29" s="214">
        <v>65</v>
      </c>
      <c r="B29" s="214" t="s">
        <v>6118</v>
      </c>
      <c r="C29" s="214" t="s">
        <v>6119</v>
      </c>
      <c r="D29" s="214">
        <v>0</v>
      </c>
      <c r="E29" s="214">
        <v>161458284</v>
      </c>
      <c r="F29" s="214">
        <v>379598720</v>
      </c>
      <c r="G29" s="22" t="s">
        <v>6120</v>
      </c>
      <c r="H29" s="7">
        <f>(E29-D31)/10</f>
        <v>987467.4</v>
      </c>
      <c r="I29" s="7">
        <f>H29/2</f>
        <v>493733.7</v>
      </c>
    </row>
    <row r="30" spans="1:9">
      <c r="A30" s="36">
        <v>66</v>
      </c>
      <c r="B30" s="36" t="s">
        <v>6118</v>
      </c>
      <c r="C30" s="36" t="s">
        <v>6121</v>
      </c>
      <c r="D30" s="36">
        <v>227863316</v>
      </c>
      <c r="E30" s="36">
        <v>0</v>
      </c>
      <c r="F30" s="36">
        <v>151735404</v>
      </c>
      <c r="G30" s="22"/>
    </row>
    <row r="31" spans="1:9">
      <c r="A31" s="214">
        <v>67</v>
      </c>
      <c r="B31" s="214" t="s">
        <v>6118</v>
      </c>
      <c r="C31" s="214" t="s">
        <v>6122</v>
      </c>
      <c r="D31" s="214">
        <v>151583610</v>
      </c>
      <c r="E31" s="214">
        <v>0</v>
      </c>
      <c r="F31" s="214">
        <v>151794</v>
      </c>
      <c r="G31" s="22"/>
    </row>
    <row r="32" spans="1:9">
      <c r="A32" s="36">
        <v>69</v>
      </c>
      <c r="B32" s="36" t="s">
        <v>6123</v>
      </c>
      <c r="C32" s="36" t="s">
        <v>6124</v>
      </c>
      <c r="D32" s="36">
        <v>86650200</v>
      </c>
      <c r="E32" s="36">
        <v>0</v>
      </c>
      <c r="F32" s="36">
        <v>420268653</v>
      </c>
      <c r="G32" s="22"/>
    </row>
    <row r="33" spans="1:9">
      <c r="A33" s="36">
        <v>71</v>
      </c>
      <c r="B33" s="36" t="s">
        <v>6123</v>
      </c>
      <c r="C33" s="36" t="s">
        <v>6125</v>
      </c>
      <c r="D33" s="36">
        <v>135477677</v>
      </c>
      <c r="E33" s="36">
        <v>0</v>
      </c>
      <c r="F33" s="36">
        <v>223507936</v>
      </c>
      <c r="G33" s="22"/>
    </row>
    <row r="34" spans="1:9">
      <c r="A34" s="36">
        <v>73</v>
      </c>
      <c r="B34" s="36" t="s">
        <v>6123</v>
      </c>
      <c r="C34" s="36" t="s">
        <v>6126</v>
      </c>
      <c r="D34" s="36">
        <v>69492638</v>
      </c>
      <c r="E34" s="36">
        <v>0</v>
      </c>
      <c r="F34" s="36">
        <v>153774186</v>
      </c>
      <c r="G34" s="22"/>
    </row>
    <row r="35" spans="1:9">
      <c r="A35" s="36">
        <v>79</v>
      </c>
      <c r="B35" s="36" t="s">
        <v>6127</v>
      </c>
      <c r="C35" s="36" t="s">
        <v>6128</v>
      </c>
      <c r="D35" s="36">
        <v>338468093</v>
      </c>
      <c r="E35" s="36">
        <v>0</v>
      </c>
      <c r="F35" s="36">
        <v>-338350050</v>
      </c>
      <c r="G35" s="22"/>
    </row>
    <row r="36" spans="1:9">
      <c r="A36" s="36">
        <v>80</v>
      </c>
      <c r="B36" s="36" t="s">
        <v>6129</v>
      </c>
      <c r="C36" s="36" t="s">
        <v>6130</v>
      </c>
      <c r="D36" s="36">
        <v>330081591</v>
      </c>
      <c r="E36" s="36">
        <v>0</v>
      </c>
      <c r="F36" s="36">
        <v>-330057613</v>
      </c>
      <c r="G36" s="22"/>
    </row>
    <row r="37" spans="1:9">
      <c r="A37" s="36">
        <v>81</v>
      </c>
      <c r="B37" s="36" t="s">
        <v>6129</v>
      </c>
      <c r="C37" s="36" t="s">
        <v>6131</v>
      </c>
      <c r="D37" s="36">
        <v>169824344</v>
      </c>
      <c r="E37" s="36">
        <v>0</v>
      </c>
      <c r="F37" s="36">
        <v>-499881957</v>
      </c>
      <c r="G37" s="22"/>
    </row>
    <row r="38" spans="1:9">
      <c r="A38" s="36">
        <v>82</v>
      </c>
      <c r="B38" s="36" t="s">
        <v>6132</v>
      </c>
      <c r="C38" s="36" t="s">
        <v>6133</v>
      </c>
      <c r="D38" s="36">
        <v>176497082</v>
      </c>
      <c r="E38" s="36">
        <v>0</v>
      </c>
      <c r="F38" s="36">
        <v>152229958</v>
      </c>
      <c r="G38" s="22"/>
    </row>
    <row r="39" spans="1:9">
      <c r="A39" s="36">
        <v>83</v>
      </c>
      <c r="B39" s="36" t="s">
        <v>6132</v>
      </c>
      <c r="C39" s="36" t="s">
        <v>6134</v>
      </c>
      <c r="D39" s="36">
        <v>152205980</v>
      </c>
      <c r="E39" s="36">
        <v>0</v>
      </c>
      <c r="F39" s="36">
        <v>23978</v>
      </c>
      <c r="G39" s="22"/>
    </row>
    <row r="40" spans="1:9">
      <c r="A40" s="36">
        <v>85</v>
      </c>
      <c r="B40" s="36" t="s">
        <v>6135</v>
      </c>
      <c r="C40" s="36" t="s">
        <v>6136</v>
      </c>
      <c r="D40" s="36">
        <v>170329802</v>
      </c>
      <c r="E40" s="36">
        <v>0</v>
      </c>
      <c r="F40" s="36">
        <v>329670198</v>
      </c>
      <c r="G40" s="22"/>
    </row>
    <row r="41" spans="1:9">
      <c r="A41" s="36">
        <v>86</v>
      </c>
      <c r="B41" s="36" t="s">
        <v>6137</v>
      </c>
      <c r="C41" s="36" t="s">
        <v>6138</v>
      </c>
      <c r="D41" s="36">
        <v>0</v>
      </c>
      <c r="E41" s="36">
        <v>0</v>
      </c>
      <c r="F41" s="36">
        <v>0</v>
      </c>
      <c r="H41">
        <f>SUM(H6:H40)</f>
        <v>4206951.7</v>
      </c>
      <c r="I41">
        <f>SUM(I6:I40)</f>
        <v>2103475.85</v>
      </c>
    </row>
    <row r="42" spans="1:9">
      <c r="A42" s="36">
        <v>87</v>
      </c>
      <c r="G42" s="22"/>
      <c r="H42" s="22" t="s">
        <v>6139</v>
      </c>
      <c r="I42" t="s">
        <v>6140</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5168</v>
      </c>
      <c r="B1">
        <v>0.24</v>
      </c>
    </row>
    <row r="4" spans="1:21">
      <c r="A4" s="11" t="s">
        <v>3557</v>
      </c>
      <c r="B4" s="11" t="s">
        <v>180</v>
      </c>
      <c r="C4" s="11" t="s">
        <v>5172</v>
      </c>
      <c r="D4" s="11" t="s">
        <v>5173</v>
      </c>
      <c r="E4" s="11" t="s">
        <v>5180</v>
      </c>
      <c r="F4" s="11" t="s">
        <v>5174</v>
      </c>
      <c r="G4" s="11" t="s">
        <v>5175</v>
      </c>
      <c r="H4" s="11" t="s">
        <v>5176</v>
      </c>
      <c r="I4" s="11" t="s">
        <v>5177</v>
      </c>
      <c r="J4" s="11" t="s">
        <v>5178</v>
      </c>
      <c r="K4" s="11" t="s">
        <v>5179</v>
      </c>
      <c r="L4" s="11" t="s">
        <v>5167</v>
      </c>
      <c r="M4" s="11" t="s">
        <v>5169</v>
      </c>
      <c r="N4" s="11" t="s">
        <v>5170</v>
      </c>
      <c r="O4" s="11"/>
    </row>
    <row r="5" spans="1:21">
      <c r="A5" s="11">
        <v>0</v>
      </c>
      <c r="B5" s="11" t="s">
        <v>5166</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5171</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5194</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5193</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5197</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5181</v>
      </c>
      <c r="C52" s="191" t="s">
        <v>5182</v>
      </c>
      <c r="D52" s="191" t="s">
        <v>5183</v>
      </c>
      <c r="E52" s="191" t="s">
        <v>4163</v>
      </c>
      <c r="F52" s="191" t="s">
        <v>5184</v>
      </c>
      <c r="G52" s="191" t="s">
        <v>5185</v>
      </c>
      <c r="H52" s="191" t="s">
        <v>5186</v>
      </c>
      <c r="I52" s="191" t="s">
        <v>5187</v>
      </c>
      <c r="J52" s="191" t="s">
        <v>5188</v>
      </c>
      <c r="K52" s="191" t="s">
        <v>5189</v>
      </c>
      <c r="L52" s="191" t="s">
        <v>5190</v>
      </c>
      <c r="M52" s="191" t="s">
        <v>5191</v>
      </c>
      <c r="N52" s="191" t="s">
        <v>5192</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5154</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5149</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5140</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5131</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5163</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5181</v>
      </c>
      <c r="C64" s="191" t="s">
        <v>5182</v>
      </c>
      <c r="D64" s="191" t="s">
        <v>5183</v>
      </c>
      <c r="E64" s="191" t="s">
        <v>4163</v>
      </c>
      <c r="F64" s="191" t="s">
        <v>5184</v>
      </c>
      <c r="G64" s="191" t="s">
        <v>5185</v>
      </c>
      <c r="H64" s="191" t="s">
        <v>5186</v>
      </c>
      <c r="I64" s="191" t="s">
        <v>5187</v>
      </c>
      <c r="J64" s="191" t="s">
        <v>5188</v>
      </c>
      <c r="K64" s="191" t="s">
        <v>5189</v>
      </c>
      <c r="L64" s="191" t="s">
        <v>5190</v>
      </c>
      <c r="M64" s="191" t="s">
        <v>5191</v>
      </c>
      <c r="N64" s="191" t="s">
        <v>5192</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5154</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5140</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5131</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5163</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5646</v>
      </c>
      <c r="B1" s="2" t="s">
        <v>4327</v>
      </c>
      <c r="C1" s="2" t="s">
        <v>5980</v>
      </c>
      <c r="D1" s="2" t="s">
        <v>5645</v>
      </c>
      <c r="E1" s="2" t="s">
        <v>4711</v>
      </c>
      <c r="F1" s="2" t="s">
        <v>5647</v>
      </c>
      <c r="G1" s="2" t="s">
        <v>5648</v>
      </c>
      <c r="H1" s="2"/>
      <c r="I1" s="2"/>
      <c r="J1" s="2"/>
      <c r="K1" s="2"/>
      <c r="L1" s="2" t="s">
        <v>5981</v>
      </c>
      <c r="M1" s="2">
        <v>10000000000</v>
      </c>
      <c r="N1" s="2"/>
      <c r="O1" s="2"/>
      <c r="P1" s="2"/>
      <c r="Q1" s="2"/>
      <c r="R1" s="2"/>
      <c r="S1" s="2"/>
      <c r="T1" s="2"/>
      <c r="U1" s="2"/>
      <c r="V1" s="2"/>
      <c r="W1" s="2"/>
      <c r="X1" s="2"/>
      <c r="Y1" s="2"/>
      <c r="Z1" s="2"/>
      <c r="AA1" s="2"/>
      <c r="AB1" s="2"/>
      <c r="AC1" s="2"/>
    </row>
    <row r="2" spans="1:29">
      <c r="A2" s="2" t="s">
        <v>5661</v>
      </c>
      <c r="B2" s="2">
        <v>52293239</v>
      </c>
      <c r="C2" s="2">
        <f t="shared" ref="C2:C33" si="0">D2+E2</f>
        <v>2605542578</v>
      </c>
      <c r="D2" s="2" t="s">
        <v>5662</v>
      </c>
      <c r="E2" s="2" t="s">
        <v>5663</v>
      </c>
      <c r="F2" s="2" t="s">
        <v>5664</v>
      </c>
      <c r="G2" s="2" t="s">
        <v>5665</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5650</v>
      </c>
      <c r="B3" s="205">
        <v>39356047</v>
      </c>
      <c r="C3" s="2">
        <f t="shared" si="0"/>
        <v>3355161798</v>
      </c>
      <c r="D3" s="2" t="s">
        <v>5651</v>
      </c>
      <c r="E3" s="2" t="s">
        <v>5652</v>
      </c>
      <c r="F3" s="2" t="s">
        <v>5654</v>
      </c>
      <c r="G3" s="2" t="s">
        <v>5655</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5685</v>
      </c>
      <c r="B4" s="205">
        <v>27272507</v>
      </c>
      <c r="C4" s="2">
        <f t="shared" si="0"/>
        <v>2003857980</v>
      </c>
      <c r="D4" s="2" t="s">
        <v>5662</v>
      </c>
      <c r="E4" s="36" t="s">
        <v>5686</v>
      </c>
      <c r="F4" s="2" t="s">
        <v>5687</v>
      </c>
      <c r="G4" s="2" t="s">
        <v>5688</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5689</v>
      </c>
      <c r="B5" s="205">
        <v>17936330</v>
      </c>
      <c r="C5" s="2">
        <f t="shared" si="0"/>
        <v>4161561525</v>
      </c>
      <c r="D5" s="2" t="s">
        <v>5662</v>
      </c>
      <c r="E5" s="2" t="s">
        <v>5690</v>
      </c>
      <c r="F5" s="2" t="s">
        <v>5691</v>
      </c>
      <c r="G5" s="2" t="s">
        <v>5692</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5671</v>
      </c>
      <c r="B6" s="205">
        <v>15219631</v>
      </c>
      <c r="C6" s="2">
        <f t="shared" si="0"/>
        <v>1037466348</v>
      </c>
      <c r="D6" s="2" t="s">
        <v>5672</v>
      </c>
      <c r="E6" s="2" t="s">
        <v>5673</v>
      </c>
      <c r="F6" s="36" t="s">
        <v>5674</v>
      </c>
      <c r="G6" s="2" t="s">
        <v>5675</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5717</v>
      </c>
      <c r="B7" s="205">
        <v>12077909</v>
      </c>
      <c r="C7" s="2">
        <f t="shared" si="0"/>
        <v>499499998</v>
      </c>
      <c r="D7" s="2" t="s">
        <v>5662</v>
      </c>
      <c r="E7" s="2" t="s">
        <v>5718</v>
      </c>
      <c r="F7" s="2" t="s">
        <v>5719</v>
      </c>
      <c r="G7" s="2" t="s">
        <v>5720</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5749</v>
      </c>
      <c r="B8" s="205">
        <v>11039958</v>
      </c>
      <c r="C8" s="2">
        <f t="shared" si="0"/>
        <v>2802020000</v>
      </c>
      <c r="D8" s="2" t="s">
        <v>5662</v>
      </c>
      <c r="E8" s="2" t="s">
        <v>5750</v>
      </c>
      <c r="F8" s="2" t="s">
        <v>5751</v>
      </c>
      <c r="G8" s="2" t="s">
        <v>5752</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5708</v>
      </c>
      <c r="B9" s="205">
        <v>6743250</v>
      </c>
      <c r="C9" s="2">
        <f t="shared" si="0"/>
        <v>337500000</v>
      </c>
      <c r="D9" s="2" t="s">
        <v>5662</v>
      </c>
      <c r="E9" s="2" t="s">
        <v>5709</v>
      </c>
      <c r="F9" s="2" t="s">
        <v>5710</v>
      </c>
      <c r="G9" s="2" t="s">
        <v>5711</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5740</v>
      </c>
      <c r="B10" s="205">
        <v>6591899</v>
      </c>
      <c r="C10" s="2">
        <f t="shared" si="0"/>
        <v>978026662</v>
      </c>
      <c r="D10" s="2" t="s">
        <v>5662</v>
      </c>
      <c r="E10" s="2" t="s">
        <v>5741</v>
      </c>
      <c r="F10" s="2" t="s">
        <v>5742</v>
      </c>
      <c r="G10" s="2" t="s">
        <v>5743</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5656</v>
      </c>
      <c r="B11" s="205">
        <v>6515494</v>
      </c>
      <c r="C11" s="2">
        <f t="shared" si="0"/>
        <v>137024073</v>
      </c>
      <c r="D11" s="2" t="s">
        <v>5657</v>
      </c>
      <c r="E11" s="2" t="s">
        <v>5658</v>
      </c>
      <c r="F11" s="2" t="s">
        <v>5659</v>
      </c>
      <c r="G11" s="2" t="s">
        <v>5660</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5666</v>
      </c>
      <c r="B12" s="205">
        <v>5962560</v>
      </c>
      <c r="C12" s="2">
        <f t="shared" si="0"/>
        <v>1242200000</v>
      </c>
      <c r="D12" s="2" t="s">
        <v>5667</v>
      </c>
      <c r="E12" s="2" t="s">
        <v>5668</v>
      </c>
      <c r="F12" s="2" t="s">
        <v>5669</v>
      </c>
      <c r="G12" s="2" t="s">
        <v>5670</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5783</v>
      </c>
      <c r="B13" s="205">
        <v>4690527</v>
      </c>
      <c r="C13" s="2">
        <f t="shared" si="0"/>
        <v>623740333</v>
      </c>
      <c r="D13" s="2" t="s">
        <v>5662</v>
      </c>
      <c r="E13" s="2" t="s">
        <v>5784</v>
      </c>
      <c r="F13" s="2" t="s">
        <v>5785</v>
      </c>
      <c r="G13" s="2" t="s">
        <v>5786</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5779</v>
      </c>
      <c r="B14" s="205">
        <v>4423541</v>
      </c>
      <c r="C14" s="2">
        <f t="shared" si="0"/>
        <v>118276522</v>
      </c>
      <c r="D14" s="2" t="s">
        <v>5662</v>
      </c>
      <c r="E14" s="2" t="s">
        <v>5780</v>
      </c>
      <c r="F14" s="2" t="s">
        <v>5781</v>
      </c>
      <c r="G14" s="2" t="s">
        <v>5782</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5973</v>
      </c>
      <c r="B15" s="205">
        <v>4228226</v>
      </c>
      <c r="C15" s="2">
        <f t="shared" si="0"/>
        <v>106322321</v>
      </c>
      <c r="D15" s="2" t="s">
        <v>5662</v>
      </c>
      <c r="E15" s="2" t="s">
        <v>5974</v>
      </c>
      <c r="F15" s="2" t="s">
        <v>5662</v>
      </c>
      <c r="G15" s="2" t="s">
        <v>5975</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5792</v>
      </c>
      <c r="B16" s="205">
        <v>3555770</v>
      </c>
      <c r="C16" s="2">
        <f t="shared" si="0"/>
        <v>183381668</v>
      </c>
      <c r="D16" s="2" t="s">
        <v>5662</v>
      </c>
      <c r="E16" s="2" t="s">
        <v>5793</v>
      </c>
      <c r="F16" s="2" t="s">
        <v>5794</v>
      </c>
      <c r="G16" s="2" t="s">
        <v>5795</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5765</v>
      </c>
      <c r="B17" s="205">
        <v>3392316</v>
      </c>
      <c r="C17" s="2">
        <f t="shared" si="0"/>
        <v>1015663732</v>
      </c>
      <c r="D17" s="2" t="s">
        <v>5662</v>
      </c>
      <c r="E17" s="2" t="s">
        <v>5766</v>
      </c>
      <c r="F17" s="2" t="s">
        <v>5767</v>
      </c>
      <c r="G17" s="2" t="s">
        <v>5768</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5693</v>
      </c>
      <c r="B18" s="205">
        <v>3321096</v>
      </c>
      <c r="C18" s="2">
        <f t="shared" si="0"/>
        <v>254880755</v>
      </c>
      <c r="D18" s="2" t="s">
        <v>5662</v>
      </c>
      <c r="E18" s="2" t="s">
        <v>5694</v>
      </c>
      <c r="F18" s="2" t="s">
        <v>5695</v>
      </c>
      <c r="G18" s="2" t="s">
        <v>5696</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5736</v>
      </c>
      <c r="B19" s="205">
        <v>2708729</v>
      </c>
      <c r="C19" s="2">
        <f t="shared" si="0"/>
        <v>158220192</v>
      </c>
      <c r="D19" s="2" t="s">
        <v>5662</v>
      </c>
      <c r="E19" s="2" t="s">
        <v>5737</v>
      </c>
      <c r="F19" s="2" t="s">
        <v>5738</v>
      </c>
      <c r="G19" s="2" t="s">
        <v>5739</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5681</v>
      </c>
      <c r="B20" s="205">
        <v>2623529</v>
      </c>
      <c r="C20" s="2">
        <f t="shared" si="0"/>
        <v>101805550</v>
      </c>
      <c r="D20" s="2" t="s">
        <v>5662</v>
      </c>
      <c r="E20" s="2" t="s">
        <v>5682</v>
      </c>
      <c r="F20" s="2" t="s">
        <v>5683</v>
      </c>
      <c r="G20" s="2" t="s">
        <v>5684</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5676</v>
      </c>
      <c r="B21" s="205">
        <v>2224069</v>
      </c>
      <c r="C21" s="2">
        <f t="shared" si="0"/>
        <v>30270982</v>
      </c>
      <c r="D21" s="2" t="s">
        <v>5677</v>
      </c>
      <c r="E21" s="2" t="s">
        <v>5678</v>
      </c>
      <c r="F21" s="2" t="s">
        <v>5679</v>
      </c>
      <c r="G21" s="2" t="s">
        <v>5680</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5796</v>
      </c>
      <c r="B22" s="206" t="s">
        <v>5797</v>
      </c>
      <c r="C22" s="2">
        <f t="shared" si="0"/>
        <v>114588426</v>
      </c>
      <c r="D22" s="2" t="s">
        <v>5662</v>
      </c>
      <c r="E22" s="2" t="s">
        <v>5798</v>
      </c>
      <c r="F22" s="2" t="s">
        <v>5799</v>
      </c>
      <c r="G22" s="2" t="s">
        <v>5800</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5753</v>
      </c>
      <c r="B23" s="206" t="s">
        <v>5754</v>
      </c>
      <c r="C23" s="2">
        <f t="shared" si="0"/>
        <v>735760160</v>
      </c>
      <c r="D23" s="2" t="s">
        <v>5755</v>
      </c>
      <c r="E23" s="2" t="s">
        <v>5756</v>
      </c>
      <c r="F23" s="2" t="s">
        <v>5757</v>
      </c>
      <c r="G23" s="2" t="s">
        <v>5758</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5912</v>
      </c>
      <c r="B24" s="206" t="s">
        <v>5913</v>
      </c>
      <c r="C24" s="2">
        <f t="shared" si="0"/>
        <v>4044500</v>
      </c>
      <c r="D24" s="2" t="s">
        <v>5662</v>
      </c>
      <c r="E24" s="2" t="s">
        <v>5914</v>
      </c>
      <c r="F24" s="2" t="s">
        <v>5898</v>
      </c>
      <c r="G24" s="2" t="s">
        <v>5915</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5825</v>
      </c>
      <c r="B25" s="206" t="s">
        <v>5826</v>
      </c>
      <c r="C25" s="2">
        <f t="shared" si="0"/>
        <v>53400000</v>
      </c>
      <c r="D25" s="2" t="s">
        <v>5662</v>
      </c>
      <c r="E25" s="2" t="s">
        <v>5827</v>
      </c>
      <c r="F25" s="2" t="s">
        <v>5828</v>
      </c>
      <c r="G25" s="2" t="s">
        <v>5829</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5703</v>
      </c>
      <c r="B26" s="206" t="s">
        <v>5704</v>
      </c>
      <c r="C26" s="2">
        <f t="shared" si="0"/>
        <v>36391574</v>
      </c>
      <c r="D26" s="2" t="s">
        <v>5662</v>
      </c>
      <c r="E26" s="2" t="s">
        <v>5705</v>
      </c>
      <c r="F26" s="2" t="s">
        <v>5706</v>
      </c>
      <c r="G26" s="2" t="s">
        <v>5707</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5744</v>
      </c>
      <c r="B27" s="206" t="s">
        <v>5745</v>
      </c>
      <c r="C27" s="2">
        <f t="shared" si="0"/>
        <v>29296590</v>
      </c>
      <c r="D27" s="2" t="s">
        <v>5662</v>
      </c>
      <c r="E27" s="2" t="s">
        <v>5746</v>
      </c>
      <c r="F27" s="2" t="s">
        <v>5747</v>
      </c>
      <c r="G27" s="2" t="s">
        <v>5748</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5840</v>
      </c>
      <c r="B28" s="206" t="s">
        <v>5841</v>
      </c>
      <c r="C28" s="2">
        <f t="shared" si="0"/>
        <v>32151333</v>
      </c>
      <c r="D28" s="2" t="s">
        <v>5662</v>
      </c>
      <c r="E28" s="2" t="s">
        <v>5842</v>
      </c>
      <c r="F28" s="2" t="s">
        <v>5843</v>
      </c>
      <c r="G28" s="2" t="s">
        <v>5844</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5697</v>
      </c>
      <c r="B29" s="206" t="s">
        <v>5698</v>
      </c>
      <c r="C29" s="2">
        <f t="shared" si="0"/>
        <v>23043086</v>
      </c>
      <c r="D29" s="2" t="s">
        <v>5699</v>
      </c>
      <c r="E29" s="2" t="s">
        <v>5700</v>
      </c>
      <c r="F29" s="2" t="s">
        <v>5701</v>
      </c>
      <c r="G29" s="2" t="s">
        <v>5702</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5805</v>
      </c>
      <c r="B30" s="206" t="s">
        <v>5806</v>
      </c>
      <c r="C30" s="2">
        <f t="shared" si="0"/>
        <v>126674402</v>
      </c>
      <c r="D30" s="2" t="s">
        <v>5662</v>
      </c>
      <c r="E30" s="2" t="s">
        <v>5807</v>
      </c>
      <c r="F30" s="2" t="s">
        <v>5808</v>
      </c>
      <c r="G30" s="2" t="s">
        <v>5809</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5774</v>
      </c>
      <c r="B31" s="206" t="s">
        <v>5775</v>
      </c>
      <c r="C31" s="2">
        <f t="shared" si="0"/>
        <v>182160000</v>
      </c>
      <c r="D31" s="2" t="s">
        <v>5662</v>
      </c>
      <c r="E31" s="2" t="s">
        <v>5776</v>
      </c>
      <c r="F31" s="2" t="s">
        <v>5777</v>
      </c>
      <c r="G31" s="2" t="s">
        <v>5778</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5820</v>
      </c>
      <c r="B32" s="206" t="s">
        <v>5821</v>
      </c>
      <c r="C32" s="2">
        <f t="shared" si="0"/>
        <v>67919940</v>
      </c>
      <c r="D32" s="2" t="s">
        <v>5662</v>
      </c>
      <c r="E32" s="2" t="s">
        <v>5822</v>
      </c>
      <c r="F32" s="2" t="s">
        <v>5823</v>
      </c>
      <c r="G32" s="2" t="s">
        <v>5824</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5845</v>
      </c>
      <c r="B33" s="206" t="s">
        <v>5846</v>
      </c>
      <c r="C33" s="2">
        <f t="shared" si="0"/>
        <v>29288000</v>
      </c>
      <c r="D33" s="2" t="s">
        <v>5662</v>
      </c>
      <c r="E33" s="2" t="s">
        <v>5847</v>
      </c>
      <c r="F33" s="2" t="s">
        <v>5848</v>
      </c>
      <c r="G33" s="2" t="s">
        <v>5849</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5855</v>
      </c>
      <c r="B34" s="206" t="s">
        <v>5856</v>
      </c>
      <c r="C34" s="2">
        <f t="shared" ref="C34:C65" si="4">D34+E34</f>
        <v>259990000</v>
      </c>
      <c r="D34" s="2" t="s">
        <v>5662</v>
      </c>
      <c r="E34" s="2" t="s">
        <v>5857</v>
      </c>
      <c r="F34" s="2" t="s">
        <v>5858</v>
      </c>
      <c r="G34" s="2" t="s">
        <v>5859</v>
      </c>
      <c r="H34" s="2"/>
      <c r="I34" s="2"/>
      <c r="J34" s="2"/>
      <c r="K34" s="2"/>
      <c r="L34" s="2"/>
      <c r="M34" s="2"/>
      <c r="N34" s="2"/>
      <c r="O34" s="2"/>
      <c r="P34" s="2"/>
      <c r="Q34" s="2"/>
      <c r="R34" s="2"/>
      <c r="S34" s="2"/>
      <c r="T34" s="2"/>
      <c r="U34" s="2"/>
      <c r="V34" s="2"/>
      <c r="W34" s="2"/>
      <c r="X34" s="2"/>
      <c r="Y34" s="2"/>
      <c r="Z34" s="2"/>
      <c r="AA34" s="2"/>
      <c r="AB34" s="2"/>
      <c r="AC34" s="2"/>
    </row>
    <row r="35" spans="1:29">
      <c r="A35" s="2" t="s">
        <v>5810</v>
      </c>
      <c r="B35" s="206" t="s">
        <v>5811</v>
      </c>
      <c r="C35" s="2">
        <f t="shared" si="4"/>
        <v>6208016</v>
      </c>
      <c r="D35" s="2" t="s">
        <v>5662</v>
      </c>
      <c r="E35" s="2" t="s">
        <v>5812</v>
      </c>
      <c r="F35" s="2" t="s">
        <v>5813</v>
      </c>
      <c r="G35" s="2" t="s">
        <v>5814</v>
      </c>
      <c r="H35" s="2"/>
      <c r="I35" s="2"/>
      <c r="J35" s="2"/>
      <c r="K35" s="2"/>
      <c r="L35" s="2"/>
      <c r="M35" s="2"/>
      <c r="N35" s="2"/>
      <c r="O35" s="2"/>
      <c r="P35" s="2"/>
      <c r="Q35" s="2"/>
      <c r="R35" s="2"/>
      <c r="S35" s="2"/>
      <c r="T35" s="2"/>
      <c r="U35" s="2"/>
      <c r="V35" s="2"/>
      <c r="W35" s="2"/>
      <c r="X35" s="2"/>
      <c r="Y35" s="2"/>
      <c r="Z35" s="2"/>
      <c r="AA35" s="2"/>
      <c r="AB35" s="2"/>
      <c r="AC35" s="2"/>
    </row>
    <row r="36" spans="1:29">
      <c r="A36" s="2" t="s">
        <v>5725</v>
      </c>
      <c r="B36" s="206" t="s">
        <v>5726</v>
      </c>
      <c r="C36" s="2">
        <f t="shared" si="4"/>
        <v>39242697</v>
      </c>
      <c r="D36" s="2" t="s">
        <v>5727</v>
      </c>
      <c r="E36" s="2" t="s">
        <v>5728</v>
      </c>
      <c r="F36" s="2" t="s">
        <v>5729</v>
      </c>
      <c r="G36" s="2" t="s">
        <v>5730</v>
      </c>
      <c r="H36" s="2"/>
      <c r="I36" s="2"/>
      <c r="J36" s="2"/>
      <c r="K36" s="2"/>
      <c r="L36" s="2"/>
      <c r="M36" s="2"/>
      <c r="N36" s="2"/>
      <c r="O36" s="2"/>
      <c r="P36" s="2"/>
      <c r="Q36" s="2"/>
      <c r="R36" s="2"/>
      <c r="S36" s="2"/>
      <c r="T36" s="2"/>
      <c r="U36" s="2"/>
      <c r="V36" s="2"/>
      <c r="W36" s="2"/>
      <c r="X36" s="2"/>
      <c r="Y36" s="2"/>
      <c r="Z36" s="2"/>
      <c r="AA36" s="2"/>
      <c r="AB36" s="2"/>
      <c r="AC36" s="2"/>
    </row>
    <row r="37" spans="1:29">
      <c r="A37" s="2" t="s">
        <v>5850</v>
      </c>
      <c r="B37" s="206" t="s">
        <v>5851</v>
      </c>
      <c r="C37" s="2">
        <f t="shared" si="4"/>
        <v>24338461</v>
      </c>
      <c r="D37" s="2" t="s">
        <v>5662</v>
      </c>
      <c r="E37" s="2" t="s">
        <v>5852</v>
      </c>
      <c r="F37" s="2" t="s">
        <v>5853</v>
      </c>
      <c r="G37" s="2" t="s">
        <v>5854</v>
      </c>
      <c r="H37" s="2"/>
      <c r="I37" s="2"/>
      <c r="J37" s="2"/>
      <c r="K37" s="2"/>
      <c r="L37" s="2"/>
      <c r="M37" s="2"/>
      <c r="N37" s="2"/>
      <c r="O37" s="2"/>
      <c r="P37" s="2"/>
      <c r="Q37" s="2"/>
      <c r="R37" s="2"/>
      <c r="S37" s="2"/>
      <c r="T37" s="2"/>
      <c r="U37" s="2"/>
      <c r="V37" s="2"/>
      <c r="W37" s="2"/>
      <c r="X37" s="2"/>
      <c r="Y37" s="2"/>
      <c r="Z37" s="2"/>
      <c r="AA37" s="2"/>
      <c r="AB37" s="2"/>
      <c r="AC37" s="2"/>
    </row>
    <row r="38" spans="1:29">
      <c r="A38" s="2" t="s">
        <v>5731</v>
      </c>
      <c r="B38" s="206" t="s">
        <v>5732</v>
      </c>
      <c r="C38" s="2">
        <f t="shared" si="4"/>
        <v>35697979</v>
      </c>
      <c r="D38" s="2" t="s">
        <v>5662</v>
      </c>
      <c r="E38" s="2" t="s">
        <v>5733</v>
      </c>
      <c r="F38" s="2" t="s">
        <v>5734</v>
      </c>
      <c r="G38" s="2" t="s">
        <v>5735</v>
      </c>
      <c r="H38" s="2"/>
      <c r="I38" s="2"/>
      <c r="J38" s="2"/>
      <c r="K38" s="2"/>
      <c r="L38" s="2"/>
      <c r="M38" s="2"/>
      <c r="N38" s="2"/>
      <c r="O38" s="2"/>
      <c r="P38" s="2"/>
      <c r="Q38" s="2"/>
      <c r="R38" s="2"/>
      <c r="S38" s="2"/>
      <c r="T38" s="2"/>
      <c r="U38" s="2"/>
      <c r="V38" s="2"/>
      <c r="W38" s="2"/>
      <c r="X38" s="2"/>
      <c r="Y38" s="2"/>
      <c r="Z38" s="2"/>
      <c r="AA38" s="2"/>
      <c r="AB38" s="2"/>
      <c r="AC38" s="2"/>
    </row>
    <row r="39" spans="1:29">
      <c r="A39" s="2" t="s">
        <v>5759</v>
      </c>
      <c r="B39" s="206" t="s">
        <v>5760</v>
      </c>
      <c r="C39" s="2">
        <f t="shared" si="4"/>
        <v>30949707</v>
      </c>
      <c r="D39" s="2" t="s">
        <v>5761</v>
      </c>
      <c r="E39" s="2" t="s">
        <v>5762</v>
      </c>
      <c r="F39" s="2" t="s">
        <v>5763</v>
      </c>
      <c r="G39" s="2" t="s">
        <v>5764</v>
      </c>
      <c r="H39" s="2"/>
      <c r="I39" s="2"/>
      <c r="J39" s="2"/>
      <c r="K39" s="2"/>
      <c r="L39" s="2"/>
      <c r="M39" s="2"/>
      <c r="N39" s="2"/>
      <c r="O39" s="2"/>
      <c r="P39" s="2"/>
      <c r="Q39" s="2"/>
      <c r="R39" s="2"/>
      <c r="S39" s="2"/>
      <c r="T39" s="2"/>
      <c r="U39" s="2"/>
      <c r="V39" s="2"/>
      <c r="W39" s="2"/>
      <c r="X39" s="2"/>
      <c r="Y39" s="2"/>
      <c r="Z39" s="2"/>
      <c r="AA39" s="2"/>
      <c r="AB39" s="2"/>
      <c r="AC39" s="2"/>
    </row>
    <row r="40" spans="1:29">
      <c r="A40" s="2" t="s">
        <v>5721</v>
      </c>
      <c r="B40" s="206" t="s">
        <v>5722</v>
      </c>
      <c r="C40" s="2">
        <f t="shared" si="4"/>
        <v>11270740</v>
      </c>
      <c r="D40" s="2" t="s">
        <v>5662</v>
      </c>
      <c r="E40" s="2" t="s">
        <v>5723</v>
      </c>
      <c r="F40" s="2" t="s">
        <v>5724</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5866</v>
      </c>
      <c r="B41" s="206" t="s">
        <v>5867</v>
      </c>
      <c r="C41" s="2">
        <f t="shared" si="4"/>
        <v>15600000</v>
      </c>
      <c r="D41" s="2" t="s">
        <v>5662</v>
      </c>
      <c r="E41" s="2" t="s">
        <v>5868</v>
      </c>
      <c r="F41" s="2" t="s">
        <v>5869</v>
      </c>
      <c r="G41" s="2" t="s">
        <v>5870</v>
      </c>
      <c r="H41" s="2"/>
      <c r="I41" s="2"/>
      <c r="J41" s="2"/>
      <c r="K41" s="2"/>
      <c r="L41" s="2"/>
      <c r="M41" s="2"/>
      <c r="N41" s="2"/>
      <c r="O41" s="2"/>
      <c r="P41" s="2"/>
      <c r="Q41" s="2"/>
      <c r="R41" s="2"/>
      <c r="S41" s="2"/>
      <c r="T41" s="2"/>
      <c r="U41" s="2"/>
      <c r="V41" s="2"/>
      <c r="W41" s="2"/>
      <c r="X41" s="2"/>
      <c r="Y41" s="2"/>
      <c r="Z41" s="2"/>
      <c r="AA41" s="2"/>
      <c r="AB41" s="2"/>
      <c r="AC41" s="2"/>
    </row>
    <row r="42" spans="1:29">
      <c r="A42" s="2" t="s">
        <v>5712</v>
      </c>
      <c r="B42" s="206" t="s">
        <v>5713</v>
      </c>
      <c r="C42" s="2">
        <f t="shared" si="4"/>
        <v>14702520</v>
      </c>
      <c r="D42" s="2" t="s">
        <v>5662</v>
      </c>
      <c r="E42" s="2" t="s">
        <v>5714</v>
      </c>
      <c r="F42" s="2" t="s">
        <v>5715</v>
      </c>
      <c r="G42" s="2" t="s">
        <v>5716</v>
      </c>
      <c r="H42" s="2"/>
      <c r="I42" s="2"/>
      <c r="J42" s="2"/>
      <c r="K42" s="2"/>
      <c r="L42" s="2"/>
      <c r="M42" s="2"/>
      <c r="N42" s="2"/>
      <c r="O42" s="2"/>
      <c r="P42" s="2"/>
      <c r="Q42" s="2"/>
      <c r="R42" s="2"/>
      <c r="S42" s="2"/>
      <c r="T42" s="2"/>
      <c r="U42" s="2"/>
      <c r="V42" s="2"/>
      <c r="W42" s="2"/>
      <c r="X42" s="2"/>
      <c r="Y42" s="2"/>
      <c r="Z42" s="2"/>
      <c r="AA42" s="2"/>
      <c r="AB42" s="2"/>
      <c r="AC42" s="2"/>
    </row>
    <row r="43" spans="1:29">
      <c r="A43" s="2" t="s">
        <v>5787</v>
      </c>
      <c r="B43" s="206" t="s">
        <v>5788</v>
      </c>
      <c r="C43" s="2">
        <f t="shared" si="4"/>
        <v>13930853</v>
      </c>
      <c r="D43" s="2" t="s">
        <v>5662</v>
      </c>
      <c r="E43" s="2" t="s">
        <v>5789</v>
      </c>
      <c r="F43" s="2" t="s">
        <v>5790</v>
      </c>
      <c r="G43" s="2" t="s">
        <v>5791</v>
      </c>
      <c r="H43" s="2"/>
      <c r="I43" s="2"/>
      <c r="J43" s="2"/>
      <c r="K43" s="2"/>
      <c r="L43" s="2"/>
      <c r="M43" s="2"/>
      <c r="N43" s="2"/>
      <c r="O43" s="2"/>
      <c r="P43" s="2"/>
      <c r="Q43" s="2"/>
      <c r="R43" s="2"/>
      <c r="S43" s="2"/>
      <c r="T43" s="2"/>
      <c r="U43" s="2"/>
      <c r="V43" s="2"/>
      <c r="W43" s="2"/>
      <c r="X43" s="2"/>
      <c r="Y43" s="2"/>
      <c r="Z43" s="2"/>
      <c r="AA43" s="2"/>
      <c r="AB43" s="2"/>
      <c r="AC43" s="2"/>
    </row>
    <row r="44" spans="1:29">
      <c r="A44" s="2" t="s">
        <v>5769</v>
      </c>
      <c r="B44" s="206" t="s">
        <v>5770</v>
      </c>
      <c r="C44" s="2">
        <f t="shared" si="4"/>
        <v>68500000</v>
      </c>
      <c r="D44" s="2" t="s">
        <v>5662</v>
      </c>
      <c r="E44" s="2" t="s">
        <v>5771</v>
      </c>
      <c r="F44" s="2" t="s">
        <v>5772</v>
      </c>
      <c r="G44" s="2" t="s">
        <v>5773</v>
      </c>
      <c r="H44" s="2"/>
      <c r="I44" s="2"/>
      <c r="J44" s="2"/>
      <c r="K44" s="2"/>
      <c r="L44" s="2"/>
      <c r="M44" s="2"/>
      <c r="N44" s="2"/>
      <c r="O44" s="2"/>
      <c r="P44" s="2"/>
      <c r="Q44" s="2"/>
      <c r="R44" s="2"/>
      <c r="S44" s="2"/>
      <c r="T44" s="2"/>
      <c r="U44" s="2"/>
      <c r="V44" s="2"/>
      <c r="W44" s="2"/>
      <c r="X44" s="2"/>
      <c r="Y44" s="2"/>
      <c r="Z44" s="2"/>
      <c r="AA44" s="2"/>
      <c r="AB44" s="2"/>
      <c r="AC44" s="2"/>
    </row>
    <row r="45" spans="1:29">
      <c r="A45" s="2" t="s">
        <v>5871</v>
      </c>
      <c r="B45" s="206" t="s">
        <v>5872</v>
      </c>
      <c r="C45" s="2">
        <f t="shared" si="4"/>
        <v>3000000</v>
      </c>
      <c r="D45" s="2" t="s">
        <v>5662</v>
      </c>
      <c r="E45" s="2" t="s">
        <v>5706</v>
      </c>
      <c r="F45" s="2" t="s">
        <v>5873</v>
      </c>
      <c r="G45" s="2" t="s">
        <v>5874</v>
      </c>
      <c r="H45" s="2"/>
      <c r="I45" s="2"/>
      <c r="J45" s="2"/>
      <c r="K45" s="2"/>
      <c r="L45" s="2"/>
      <c r="M45" s="2"/>
      <c r="N45" s="2"/>
      <c r="O45" s="2"/>
      <c r="P45" s="2"/>
      <c r="Q45" s="2"/>
      <c r="R45" s="2"/>
      <c r="S45" s="2"/>
      <c r="T45" s="2"/>
      <c r="U45" s="2"/>
      <c r="V45" s="2"/>
      <c r="W45" s="2"/>
      <c r="X45" s="2"/>
      <c r="Y45" s="2"/>
      <c r="Z45" s="2"/>
      <c r="AA45" s="2"/>
      <c r="AB45" s="2"/>
      <c r="AC45" s="2"/>
    </row>
    <row r="46" spans="1:29">
      <c r="A46" s="2" t="s">
        <v>5890</v>
      </c>
      <c r="B46" s="206" t="s">
        <v>5891</v>
      </c>
      <c r="C46" s="2">
        <f t="shared" si="4"/>
        <v>12400000</v>
      </c>
      <c r="D46" s="2" t="s">
        <v>5662</v>
      </c>
      <c r="E46" s="2" t="s">
        <v>5892</v>
      </c>
      <c r="F46" s="2" t="s">
        <v>5893</v>
      </c>
      <c r="G46" s="2" t="s">
        <v>5894</v>
      </c>
      <c r="H46" s="2"/>
      <c r="I46" s="2"/>
      <c r="J46" s="2"/>
      <c r="K46" s="2"/>
      <c r="L46" s="2"/>
      <c r="M46" s="2"/>
      <c r="N46" s="2"/>
      <c r="O46" s="2"/>
      <c r="P46" s="2"/>
      <c r="Q46" s="2"/>
      <c r="R46" s="2"/>
      <c r="S46" s="2"/>
      <c r="T46" s="2"/>
      <c r="U46" s="2"/>
      <c r="V46" s="2"/>
      <c r="W46" s="2"/>
      <c r="X46" s="2"/>
      <c r="Y46" s="2"/>
      <c r="Z46" s="2"/>
      <c r="AA46" s="2"/>
      <c r="AB46" s="2"/>
      <c r="AC46" s="2"/>
    </row>
    <row r="47" spans="1:29">
      <c r="A47" s="2" t="s">
        <v>5801</v>
      </c>
      <c r="B47" s="206" t="s">
        <v>5802</v>
      </c>
      <c r="C47" s="2">
        <f t="shared" si="4"/>
        <v>25000000</v>
      </c>
      <c r="D47" s="2" t="s">
        <v>5662</v>
      </c>
      <c r="E47" s="2" t="s">
        <v>5724</v>
      </c>
      <c r="F47" s="2" t="s">
        <v>5803</v>
      </c>
      <c r="G47" s="2" t="s">
        <v>5804</v>
      </c>
      <c r="H47" s="2"/>
      <c r="I47" s="2"/>
      <c r="J47" s="2"/>
      <c r="K47" s="2"/>
      <c r="L47" s="2"/>
      <c r="M47" s="2"/>
      <c r="N47" s="2"/>
      <c r="O47" s="2"/>
      <c r="P47" s="2"/>
      <c r="Q47" s="2"/>
      <c r="R47" s="2"/>
      <c r="S47" s="2"/>
      <c r="T47" s="2"/>
      <c r="U47" s="2"/>
      <c r="V47" s="2"/>
      <c r="W47" s="2"/>
      <c r="X47" s="2"/>
      <c r="Y47" s="2"/>
      <c r="Z47" s="2"/>
      <c r="AA47" s="2"/>
      <c r="AB47" s="2"/>
      <c r="AC47" s="2"/>
    </row>
    <row r="48" spans="1:29">
      <c r="A48" s="2" t="s">
        <v>5875</v>
      </c>
      <c r="B48" s="206" t="s">
        <v>5876</v>
      </c>
      <c r="C48" s="2">
        <f t="shared" si="4"/>
        <v>29000000</v>
      </c>
      <c r="D48" s="2" t="s">
        <v>5662</v>
      </c>
      <c r="E48" s="2" t="s">
        <v>5877</v>
      </c>
      <c r="F48" s="2" t="s">
        <v>5878</v>
      </c>
      <c r="G48" s="2" t="s">
        <v>5879</v>
      </c>
      <c r="H48" s="2"/>
      <c r="I48" s="2"/>
      <c r="J48" s="2"/>
      <c r="K48" s="2"/>
      <c r="L48" s="2"/>
      <c r="M48" s="2"/>
      <c r="N48" s="2"/>
      <c r="O48" s="2"/>
      <c r="P48" s="2"/>
      <c r="Q48" s="2"/>
      <c r="R48" s="2"/>
      <c r="S48" s="2"/>
      <c r="T48" s="2"/>
      <c r="U48" s="2"/>
      <c r="V48" s="2"/>
      <c r="W48" s="2"/>
      <c r="X48" s="2"/>
      <c r="Y48" s="2"/>
      <c r="Z48" s="2"/>
      <c r="AA48" s="2"/>
      <c r="AB48" s="2"/>
      <c r="AC48" s="2"/>
    </row>
    <row r="49" spans="1:29">
      <c r="A49" s="2" t="s">
        <v>5903</v>
      </c>
      <c r="B49" s="206" t="s">
        <v>5904</v>
      </c>
      <c r="C49" s="2">
        <f t="shared" si="4"/>
        <v>12691397</v>
      </c>
      <c r="D49" s="2" t="s">
        <v>5662</v>
      </c>
      <c r="E49" s="2" t="s">
        <v>5905</v>
      </c>
      <c r="F49" s="2" t="s">
        <v>5906</v>
      </c>
      <c r="G49" s="2" t="s">
        <v>5907</v>
      </c>
      <c r="H49" s="2"/>
      <c r="I49" s="2"/>
      <c r="J49" s="2"/>
      <c r="K49" s="2"/>
      <c r="L49" s="2"/>
      <c r="M49" s="2"/>
      <c r="N49" s="2"/>
      <c r="O49" s="2"/>
      <c r="P49" s="2"/>
      <c r="Q49" s="2"/>
      <c r="R49" s="2"/>
      <c r="S49" s="2"/>
      <c r="T49" s="2"/>
      <c r="U49" s="2"/>
      <c r="V49" s="2"/>
      <c r="W49" s="2"/>
      <c r="X49" s="2"/>
      <c r="Y49" s="2"/>
      <c r="Z49" s="2"/>
      <c r="AA49" s="2"/>
      <c r="AB49" s="2"/>
      <c r="AC49" s="2"/>
    </row>
    <row r="50" spans="1:29">
      <c r="A50" s="2" t="s">
        <v>5895</v>
      </c>
      <c r="B50" s="206" t="s">
        <v>5896</v>
      </c>
      <c r="C50" s="2">
        <f t="shared" si="4"/>
        <v>4639508</v>
      </c>
      <c r="D50" s="2" t="s">
        <v>5662</v>
      </c>
      <c r="E50" s="2" t="s">
        <v>5897</v>
      </c>
      <c r="F50" s="2" t="s">
        <v>5898</v>
      </c>
      <c r="G50" s="2" t="s">
        <v>5899</v>
      </c>
      <c r="H50" s="2"/>
      <c r="I50" s="2"/>
      <c r="J50" s="2"/>
      <c r="K50" s="2"/>
      <c r="L50" s="2"/>
      <c r="M50" s="2"/>
      <c r="N50" s="2"/>
      <c r="O50" s="2"/>
      <c r="P50" s="2"/>
      <c r="Q50" s="2"/>
      <c r="R50" s="2"/>
      <c r="S50" s="2"/>
      <c r="T50" s="2"/>
      <c r="U50" s="2"/>
      <c r="V50" s="2"/>
      <c r="W50" s="2"/>
      <c r="X50" s="2"/>
      <c r="Y50" s="2"/>
      <c r="Z50" s="2"/>
      <c r="AA50" s="2"/>
      <c r="AB50" s="2"/>
      <c r="AC50" s="2"/>
    </row>
    <row r="51" spans="1:29">
      <c r="A51" s="2" t="s">
        <v>5835</v>
      </c>
      <c r="B51" s="206" t="s">
        <v>5836</v>
      </c>
      <c r="C51" s="2">
        <f t="shared" si="4"/>
        <v>9242699</v>
      </c>
      <c r="D51" s="2" t="s">
        <v>5662</v>
      </c>
      <c r="E51" s="2" t="s">
        <v>5837</v>
      </c>
      <c r="F51" s="2" t="s">
        <v>5838</v>
      </c>
      <c r="G51" s="2" t="s">
        <v>5839</v>
      </c>
      <c r="H51" s="2"/>
      <c r="I51" s="2"/>
      <c r="J51" s="2"/>
      <c r="K51" s="2"/>
      <c r="L51" s="2"/>
      <c r="M51" s="2"/>
      <c r="N51" s="2"/>
      <c r="O51" s="2"/>
      <c r="P51" s="2"/>
      <c r="Q51" s="2"/>
      <c r="R51" s="2"/>
      <c r="S51" s="2"/>
      <c r="T51" s="2"/>
      <c r="U51" s="2"/>
      <c r="V51" s="2"/>
      <c r="W51" s="2"/>
      <c r="X51" s="2"/>
      <c r="Y51" s="2"/>
      <c r="Z51" s="2"/>
      <c r="AA51" s="2"/>
      <c r="AB51" s="2"/>
      <c r="AC51" s="2"/>
    </row>
    <row r="52" spans="1:29">
      <c r="A52" s="2" t="s">
        <v>5830</v>
      </c>
      <c r="B52" s="206" t="s">
        <v>5831</v>
      </c>
      <c r="C52" s="2">
        <f t="shared" si="4"/>
        <v>12000000</v>
      </c>
      <c r="D52" s="2" t="s">
        <v>5662</v>
      </c>
      <c r="E52" s="2" t="s">
        <v>5832</v>
      </c>
      <c r="F52" s="2" t="s">
        <v>5833</v>
      </c>
      <c r="G52" s="2" t="s">
        <v>5834</v>
      </c>
      <c r="H52" s="2"/>
      <c r="I52" s="2"/>
      <c r="J52" s="2"/>
      <c r="K52" s="2"/>
      <c r="L52" s="2"/>
      <c r="M52" s="2"/>
      <c r="N52" s="2"/>
      <c r="O52" s="2"/>
      <c r="P52" s="2"/>
      <c r="Q52" s="2"/>
      <c r="R52" s="2"/>
      <c r="S52" s="2"/>
      <c r="T52" s="2"/>
      <c r="U52" s="2"/>
      <c r="V52" s="2"/>
      <c r="W52" s="2"/>
      <c r="X52" s="2"/>
      <c r="Y52" s="2"/>
      <c r="Z52" s="2"/>
      <c r="AA52" s="2"/>
      <c r="AB52" s="2"/>
      <c r="AC52" s="2"/>
    </row>
    <row r="53" spans="1:29">
      <c r="A53" s="2" t="s">
        <v>5885</v>
      </c>
      <c r="B53" s="206" t="s">
        <v>5886</v>
      </c>
      <c r="C53" s="2">
        <f t="shared" si="4"/>
        <v>18333333</v>
      </c>
      <c r="D53" s="2" t="s">
        <v>5662</v>
      </c>
      <c r="E53" s="2" t="s">
        <v>5887</v>
      </c>
      <c r="F53" s="2" t="s">
        <v>5888</v>
      </c>
      <c r="G53" s="2" t="s">
        <v>5889</v>
      </c>
      <c r="H53" s="2"/>
      <c r="I53" s="2"/>
      <c r="J53" s="2"/>
      <c r="K53" s="2"/>
      <c r="L53" s="2"/>
      <c r="M53" s="2"/>
      <c r="N53" s="2"/>
      <c r="O53" s="2"/>
      <c r="P53" s="2"/>
      <c r="Q53" s="2"/>
      <c r="R53" s="2"/>
      <c r="S53" s="2"/>
      <c r="T53" s="2"/>
      <c r="U53" s="2"/>
      <c r="V53" s="2"/>
      <c r="W53" s="2"/>
      <c r="X53" s="2"/>
      <c r="Y53" s="2"/>
      <c r="Z53" s="2"/>
      <c r="AA53" s="2"/>
      <c r="AB53" s="2"/>
      <c r="AC53" s="2"/>
    </row>
    <row r="54" spans="1:29">
      <c r="A54" s="2" t="s">
        <v>5860</v>
      </c>
      <c r="B54" s="206" t="s">
        <v>5861</v>
      </c>
      <c r="C54" s="2">
        <f t="shared" si="4"/>
        <v>10686057</v>
      </c>
      <c r="D54" s="2" t="s">
        <v>5862</v>
      </c>
      <c r="E54" s="2" t="s">
        <v>5863</v>
      </c>
      <c r="F54" s="2" t="s">
        <v>5864</v>
      </c>
      <c r="G54" s="2" t="s">
        <v>5865</v>
      </c>
      <c r="H54" s="2"/>
      <c r="I54" s="2"/>
      <c r="J54" s="2"/>
      <c r="K54" s="2"/>
      <c r="L54" s="2"/>
      <c r="M54" s="2"/>
      <c r="N54" s="2"/>
      <c r="O54" s="2"/>
      <c r="P54" s="2"/>
      <c r="Q54" s="2"/>
      <c r="R54" s="2"/>
      <c r="S54" s="2"/>
      <c r="T54" s="2"/>
      <c r="U54" s="2"/>
      <c r="V54" s="2"/>
      <c r="W54" s="2"/>
      <c r="X54" s="2"/>
      <c r="Y54" s="2"/>
      <c r="Z54" s="2"/>
      <c r="AA54" s="2"/>
      <c r="AB54" s="2"/>
      <c r="AC54" s="2"/>
    </row>
    <row r="55" spans="1:29">
      <c r="A55" s="2" t="s">
        <v>5815</v>
      </c>
      <c r="B55" s="206" t="s">
        <v>5816</v>
      </c>
      <c r="C55" s="2">
        <f t="shared" si="4"/>
        <v>6210524</v>
      </c>
      <c r="D55" s="2" t="s">
        <v>5662</v>
      </c>
      <c r="E55" s="2" t="s">
        <v>5817</v>
      </c>
      <c r="F55" s="2" t="s">
        <v>5818</v>
      </c>
      <c r="G55" s="2" t="s">
        <v>5819</v>
      </c>
      <c r="H55" s="2"/>
      <c r="I55" s="2"/>
      <c r="J55" s="2"/>
      <c r="K55" s="2"/>
      <c r="L55" s="2"/>
      <c r="M55" s="2"/>
      <c r="N55" s="2"/>
      <c r="O55" s="2"/>
      <c r="P55" s="2"/>
      <c r="Q55" s="2"/>
      <c r="R55" s="2"/>
      <c r="S55" s="2"/>
      <c r="T55" s="2"/>
      <c r="U55" s="2"/>
      <c r="V55" s="2"/>
      <c r="W55" s="2"/>
      <c r="X55" s="2"/>
      <c r="Y55" s="2"/>
      <c r="Z55" s="2"/>
      <c r="AA55" s="2"/>
      <c r="AB55" s="2"/>
      <c r="AC55" s="2"/>
    </row>
    <row r="56" spans="1:29">
      <c r="A56" s="2" t="s">
        <v>5939</v>
      </c>
      <c r="B56" s="206" t="s">
        <v>5940</v>
      </c>
      <c r="C56" s="2">
        <f t="shared" si="4"/>
        <v>2660000</v>
      </c>
      <c r="D56" s="2" t="s">
        <v>5662</v>
      </c>
      <c r="E56" s="2" t="s">
        <v>5941</v>
      </c>
      <c r="F56" s="2" t="s">
        <v>5942</v>
      </c>
      <c r="G56" s="2" t="s">
        <v>5943</v>
      </c>
      <c r="H56" s="2"/>
      <c r="I56" s="2"/>
      <c r="J56" s="2"/>
      <c r="K56" s="2"/>
      <c r="L56" s="2"/>
      <c r="M56" s="2"/>
      <c r="N56" s="2"/>
      <c r="O56" s="2"/>
      <c r="P56" s="2"/>
      <c r="Q56" s="2"/>
      <c r="R56" s="2"/>
      <c r="S56" s="2"/>
      <c r="T56" s="2"/>
      <c r="U56" s="2"/>
      <c r="V56" s="2"/>
      <c r="W56" s="2"/>
      <c r="X56" s="2"/>
      <c r="Y56" s="2"/>
      <c r="Z56" s="2"/>
      <c r="AA56" s="2"/>
      <c r="AB56" s="2"/>
      <c r="AC56" s="2"/>
    </row>
    <row r="57" spans="1:29">
      <c r="A57" s="2" t="s">
        <v>5916</v>
      </c>
      <c r="B57" s="206" t="s">
        <v>5917</v>
      </c>
      <c r="C57" s="2">
        <f t="shared" si="4"/>
        <v>4333333</v>
      </c>
      <c r="D57" s="2" t="s">
        <v>5662</v>
      </c>
      <c r="E57" s="2" t="s">
        <v>5918</v>
      </c>
      <c r="F57" s="2" t="s">
        <v>5919</v>
      </c>
      <c r="G57" s="2" t="s">
        <v>5920</v>
      </c>
      <c r="H57" s="2"/>
      <c r="I57" s="2"/>
      <c r="J57" s="2"/>
      <c r="K57" s="2"/>
      <c r="L57" s="2"/>
      <c r="M57" s="2"/>
      <c r="N57" s="2"/>
      <c r="O57" s="2"/>
      <c r="P57" s="2"/>
      <c r="Q57" s="2"/>
      <c r="R57" s="2"/>
      <c r="S57" s="2"/>
      <c r="T57" s="2"/>
      <c r="U57" s="2"/>
      <c r="V57" s="2"/>
      <c r="W57" s="2"/>
      <c r="X57" s="2"/>
      <c r="Y57" s="2"/>
      <c r="Z57" s="2"/>
      <c r="AA57" s="2"/>
      <c r="AB57" s="2"/>
      <c r="AC57" s="2"/>
    </row>
    <row r="58" spans="1:29">
      <c r="A58" s="2" t="s">
        <v>5921</v>
      </c>
      <c r="B58" s="206" t="s">
        <v>5922</v>
      </c>
      <c r="C58" s="2">
        <f t="shared" si="4"/>
        <v>469533</v>
      </c>
      <c r="D58" s="2" t="s">
        <v>5662</v>
      </c>
      <c r="E58" s="2" t="s">
        <v>5923</v>
      </c>
      <c r="F58" s="2" t="s">
        <v>5924</v>
      </c>
      <c r="G58" s="2" t="s">
        <v>5925</v>
      </c>
      <c r="H58" s="2"/>
      <c r="I58" s="2"/>
      <c r="J58" s="2"/>
      <c r="K58" s="2"/>
      <c r="L58" s="2"/>
      <c r="M58" s="2"/>
      <c r="N58" s="2"/>
      <c r="O58" s="2"/>
      <c r="P58" s="2"/>
      <c r="Q58" s="2"/>
      <c r="R58" s="2"/>
      <c r="S58" s="2"/>
      <c r="T58" s="2"/>
      <c r="U58" s="2"/>
      <c r="V58" s="2"/>
      <c r="W58" s="2"/>
      <c r="X58" s="2"/>
      <c r="Y58" s="2"/>
      <c r="Z58" s="2"/>
      <c r="AA58" s="2"/>
      <c r="AB58" s="2"/>
      <c r="AC58" s="2"/>
    </row>
    <row r="59" spans="1:29">
      <c r="A59" s="2" t="s">
        <v>5966</v>
      </c>
      <c r="B59" s="206" t="s">
        <v>5965</v>
      </c>
      <c r="C59" s="2">
        <f t="shared" si="4"/>
        <v>5076558</v>
      </c>
      <c r="D59" s="2" t="s">
        <v>5967</v>
      </c>
      <c r="E59" s="2" t="s">
        <v>5662</v>
      </c>
      <c r="F59" s="2" t="s">
        <v>5906</v>
      </c>
      <c r="G59" s="2" t="s">
        <v>5968</v>
      </c>
      <c r="H59" s="2"/>
      <c r="I59" s="2"/>
      <c r="J59" s="2"/>
      <c r="K59" s="2"/>
      <c r="L59" s="2"/>
      <c r="M59" s="2"/>
      <c r="N59" s="2"/>
      <c r="O59" s="2"/>
      <c r="P59" s="2"/>
      <c r="Q59" s="2"/>
      <c r="R59" s="2"/>
      <c r="S59" s="2"/>
      <c r="T59" s="2"/>
      <c r="U59" s="2"/>
      <c r="V59" s="2"/>
      <c r="W59" s="2"/>
      <c r="X59" s="2"/>
      <c r="Y59" s="2"/>
      <c r="Z59" s="2"/>
      <c r="AA59" s="2"/>
      <c r="AB59" s="2"/>
      <c r="AC59" s="2"/>
    </row>
    <row r="60" spans="1:29">
      <c r="A60" s="2" t="s">
        <v>5656</v>
      </c>
      <c r="B60" s="206" t="s">
        <v>5908</v>
      </c>
      <c r="C60" s="2">
        <f t="shared" si="4"/>
        <v>1144000</v>
      </c>
      <c r="D60" s="2" t="s">
        <v>5662</v>
      </c>
      <c r="E60" s="2" t="s">
        <v>5909</v>
      </c>
      <c r="F60" s="2" t="s">
        <v>5910</v>
      </c>
      <c r="G60" s="2" t="s">
        <v>5911</v>
      </c>
      <c r="H60" s="2"/>
      <c r="I60" s="2"/>
      <c r="J60" s="2"/>
      <c r="K60" s="2"/>
      <c r="L60" s="2"/>
      <c r="M60" s="2"/>
      <c r="N60" s="2"/>
      <c r="O60" s="2"/>
      <c r="P60" s="2"/>
      <c r="Q60" s="2"/>
      <c r="R60" s="2"/>
      <c r="S60" s="2"/>
      <c r="T60" s="2"/>
      <c r="U60" s="2"/>
      <c r="V60" s="2"/>
      <c r="W60" s="2"/>
      <c r="X60" s="2"/>
      <c r="Y60" s="2"/>
      <c r="Z60" s="2"/>
      <c r="AA60" s="2"/>
      <c r="AB60" s="2"/>
      <c r="AC60" s="2"/>
    </row>
    <row r="61" spans="1:29">
      <c r="A61" s="2" t="s">
        <v>5880</v>
      </c>
      <c r="B61" s="206" t="s">
        <v>5881</v>
      </c>
      <c r="C61" s="2">
        <f t="shared" si="4"/>
        <v>2000000</v>
      </c>
      <c r="D61" s="2" t="s">
        <v>5662</v>
      </c>
      <c r="E61" s="2" t="s">
        <v>5882</v>
      </c>
      <c r="F61" s="2" t="s">
        <v>5883</v>
      </c>
      <c r="G61" s="2" t="s">
        <v>5884</v>
      </c>
      <c r="H61" s="2"/>
      <c r="I61" s="2"/>
      <c r="J61" s="2"/>
      <c r="K61" s="2"/>
      <c r="L61" s="2"/>
      <c r="M61" s="2"/>
      <c r="N61" s="2"/>
      <c r="O61" s="2"/>
      <c r="P61" s="2"/>
      <c r="Q61" s="2"/>
      <c r="R61" s="2"/>
      <c r="S61" s="2"/>
      <c r="T61" s="2"/>
      <c r="U61" s="2"/>
      <c r="V61" s="2"/>
      <c r="W61" s="2"/>
      <c r="X61" s="2"/>
      <c r="Y61" s="2"/>
      <c r="Z61" s="2"/>
      <c r="AA61" s="2"/>
      <c r="AB61" s="2"/>
      <c r="AC61" s="2"/>
    </row>
    <row r="62" spans="1:29">
      <c r="A62" s="2" t="s">
        <v>5930</v>
      </c>
      <c r="B62" s="206" t="s">
        <v>5931</v>
      </c>
      <c r="C62" s="2">
        <f t="shared" si="4"/>
        <v>1469425</v>
      </c>
      <c r="D62" s="2" t="s">
        <v>5662</v>
      </c>
      <c r="E62" s="2" t="s">
        <v>5932</v>
      </c>
      <c r="F62" s="2" t="s">
        <v>5933</v>
      </c>
      <c r="G62" s="2" t="s">
        <v>5934</v>
      </c>
      <c r="H62" s="2"/>
      <c r="I62" s="2"/>
      <c r="J62" s="2"/>
      <c r="K62" s="2"/>
      <c r="L62" s="2"/>
      <c r="M62" s="2"/>
      <c r="N62" s="2"/>
      <c r="O62" s="2"/>
      <c r="P62" s="2"/>
      <c r="Q62" s="2"/>
      <c r="R62" s="2"/>
      <c r="S62" s="2"/>
      <c r="T62" s="2"/>
      <c r="U62" s="2"/>
      <c r="V62" s="2"/>
      <c r="W62" s="2"/>
      <c r="X62" s="2"/>
      <c r="Y62" s="2"/>
      <c r="Z62" s="2"/>
      <c r="AA62" s="2"/>
      <c r="AB62" s="2"/>
      <c r="AC62" s="2"/>
    </row>
    <row r="63" spans="1:29">
      <c r="A63" s="2" t="s">
        <v>5926</v>
      </c>
      <c r="B63" s="206" t="s">
        <v>5927</v>
      </c>
      <c r="C63" s="2">
        <f t="shared" si="4"/>
        <v>1888175</v>
      </c>
      <c r="D63" s="2" t="s">
        <v>5662</v>
      </c>
      <c r="E63" s="2" t="s">
        <v>5928</v>
      </c>
      <c r="F63" s="2" t="s">
        <v>5724</v>
      </c>
      <c r="G63" s="2" t="s">
        <v>5929</v>
      </c>
      <c r="H63" s="2"/>
      <c r="I63" s="2"/>
      <c r="J63" s="2"/>
      <c r="K63" s="2"/>
      <c r="L63" s="2"/>
      <c r="M63" s="2"/>
      <c r="N63" s="2"/>
      <c r="O63" s="2"/>
      <c r="P63" s="2"/>
      <c r="Q63" s="2"/>
      <c r="R63" s="2"/>
      <c r="S63" s="2"/>
      <c r="T63" s="2"/>
      <c r="U63" s="2"/>
      <c r="V63" s="2"/>
      <c r="W63" s="2"/>
      <c r="X63" s="2"/>
      <c r="Y63" s="2"/>
      <c r="Z63" s="2"/>
      <c r="AA63" s="2"/>
      <c r="AB63" s="2"/>
      <c r="AC63" s="2"/>
    </row>
    <row r="64" spans="1:29">
      <c r="A64" s="2" t="s">
        <v>5653</v>
      </c>
      <c r="B64" s="206" t="s">
        <v>5900</v>
      </c>
      <c r="C64" s="2">
        <f t="shared" si="4"/>
        <v>15200000</v>
      </c>
      <c r="D64" s="2" t="s">
        <v>5662</v>
      </c>
      <c r="E64" s="2" t="s">
        <v>5901</v>
      </c>
      <c r="F64" s="2" t="s">
        <v>5742</v>
      </c>
      <c r="G64" s="2" t="s">
        <v>5902</v>
      </c>
      <c r="H64" s="2"/>
      <c r="I64" s="2"/>
      <c r="J64" s="2"/>
      <c r="K64" s="2"/>
      <c r="L64" s="2"/>
      <c r="M64" s="2"/>
      <c r="N64" s="2"/>
      <c r="O64" s="2"/>
      <c r="P64" s="2"/>
      <c r="Q64" s="2"/>
      <c r="R64" s="2"/>
      <c r="S64" s="2"/>
      <c r="T64" s="2"/>
      <c r="U64" s="2"/>
      <c r="V64" s="2"/>
      <c r="W64" s="2"/>
      <c r="X64" s="2"/>
      <c r="Y64" s="2"/>
      <c r="Z64" s="2"/>
      <c r="AA64" s="2"/>
      <c r="AB64" s="2"/>
      <c r="AC64" s="2"/>
    </row>
    <row r="65" spans="1:29">
      <c r="A65" s="2" t="s">
        <v>5944</v>
      </c>
      <c r="B65" s="206" t="s">
        <v>5945</v>
      </c>
      <c r="C65" s="2">
        <f t="shared" si="4"/>
        <v>364567</v>
      </c>
      <c r="D65" s="2" t="s">
        <v>5662</v>
      </c>
      <c r="E65" s="2" t="s">
        <v>5946</v>
      </c>
      <c r="F65" s="2" t="s">
        <v>5843</v>
      </c>
      <c r="G65" s="2" t="s">
        <v>5947</v>
      </c>
      <c r="H65" s="2"/>
      <c r="I65" s="2"/>
      <c r="J65" s="2"/>
      <c r="K65" s="2"/>
      <c r="L65" s="2"/>
      <c r="M65" s="2"/>
      <c r="N65" s="2"/>
      <c r="O65" s="2"/>
      <c r="P65" s="2"/>
      <c r="Q65" s="2"/>
      <c r="R65" s="2"/>
      <c r="S65" s="2"/>
      <c r="T65" s="2"/>
      <c r="U65" s="2"/>
      <c r="V65" s="2"/>
      <c r="W65" s="2"/>
      <c r="X65" s="2"/>
      <c r="Y65" s="2"/>
      <c r="Z65" s="2"/>
      <c r="AA65" s="2"/>
      <c r="AB65" s="2"/>
      <c r="AC65" s="2"/>
    </row>
    <row r="66" spans="1:29">
      <c r="A66" s="2" t="s">
        <v>5935</v>
      </c>
      <c r="B66" s="206" t="s">
        <v>5936</v>
      </c>
      <c r="C66" s="2">
        <f>D66+E66</f>
        <v>474991</v>
      </c>
      <c r="D66" s="2" t="s">
        <v>5662</v>
      </c>
      <c r="E66" s="2" t="s">
        <v>5937</v>
      </c>
      <c r="F66" s="2" t="s">
        <v>5785</v>
      </c>
      <c r="G66" s="2" t="s">
        <v>5938</v>
      </c>
      <c r="H66" s="2"/>
      <c r="I66" s="2"/>
      <c r="J66" s="2"/>
      <c r="K66" s="2"/>
      <c r="L66" s="2"/>
      <c r="M66" s="2"/>
      <c r="N66" s="2"/>
      <c r="O66" s="2"/>
      <c r="P66" s="2"/>
      <c r="Q66" s="2"/>
      <c r="R66" s="2"/>
      <c r="S66" s="2"/>
      <c r="T66" s="2"/>
      <c r="U66" s="2"/>
      <c r="V66" s="2"/>
      <c r="W66" s="2"/>
      <c r="X66" s="2"/>
      <c r="Y66" s="2"/>
      <c r="Z66" s="2"/>
      <c r="AA66" s="2"/>
      <c r="AB66" s="2"/>
      <c r="AC66" s="2"/>
    </row>
    <row r="67" spans="1:29">
      <c r="A67" s="2" t="s">
        <v>5953</v>
      </c>
      <c r="B67" s="206" t="s">
        <v>5954</v>
      </c>
      <c r="C67" s="2">
        <f>D67+E67</f>
        <v>35981</v>
      </c>
      <c r="D67" s="2" t="s">
        <v>5662</v>
      </c>
      <c r="E67" s="2" t="s">
        <v>5955</v>
      </c>
      <c r="F67" s="2" t="s">
        <v>5956</v>
      </c>
      <c r="G67" s="2" t="s">
        <v>5957</v>
      </c>
      <c r="H67" s="2"/>
      <c r="I67" s="2"/>
      <c r="J67" s="2"/>
      <c r="K67" s="2"/>
      <c r="L67" s="2"/>
      <c r="M67" s="2"/>
      <c r="N67" s="2"/>
      <c r="O67" s="2"/>
      <c r="P67" s="2"/>
      <c r="Q67" s="2"/>
      <c r="R67" s="2"/>
      <c r="S67" s="2"/>
      <c r="T67" s="2"/>
      <c r="U67" s="2"/>
      <c r="V67" s="2"/>
      <c r="W67" s="2"/>
      <c r="X67" s="2"/>
      <c r="Y67" s="2"/>
      <c r="Z67" s="2"/>
      <c r="AA67" s="2"/>
      <c r="AB67" s="2"/>
      <c r="AC67" s="2"/>
    </row>
    <row r="68" spans="1:29">
      <c r="A68" s="2" t="s">
        <v>5948</v>
      </c>
      <c r="B68" s="206" t="s">
        <v>5949</v>
      </c>
      <c r="C68" s="2">
        <f>D68+E68</f>
        <v>3000</v>
      </c>
      <c r="D68" s="2" t="s">
        <v>5950</v>
      </c>
      <c r="E68" s="2" t="s">
        <v>5951</v>
      </c>
      <c r="F68" s="2" t="s">
        <v>5742</v>
      </c>
      <c r="G68" s="2" t="s">
        <v>5952</v>
      </c>
      <c r="H68" s="2"/>
      <c r="I68" s="2"/>
      <c r="J68" s="2"/>
      <c r="K68" s="2"/>
      <c r="L68" s="2"/>
      <c r="M68" s="2"/>
      <c r="N68" s="2"/>
      <c r="O68" s="2"/>
      <c r="P68" s="2"/>
      <c r="Q68" s="2"/>
      <c r="R68" s="2"/>
      <c r="S68" s="2"/>
      <c r="T68" s="2"/>
      <c r="U68" s="2"/>
      <c r="V68" s="2"/>
      <c r="W68" s="2"/>
      <c r="X68" s="2"/>
      <c r="Y68" s="2"/>
      <c r="Z68" s="2"/>
      <c r="AA68" s="2"/>
      <c r="AB68" s="2"/>
      <c r="AC68" s="2"/>
    </row>
    <row r="69" spans="1:29">
      <c r="A69" s="2" t="s">
        <v>5958</v>
      </c>
      <c r="B69" s="206" t="s">
        <v>5959</v>
      </c>
      <c r="C69" s="2">
        <f>D69+E69</f>
        <v>2666</v>
      </c>
      <c r="D69" s="2" t="s">
        <v>5662</v>
      </c>
      <c r="E69" s="2" t="s">
        <v>5960</v>
      </c>
      <c r="F69" s="2" t="s">
        <v>5785</v>
      </c>
      <c r="G69" s="2" t="s">
        <v>5961</v>
      </c>
      <c r="H69" s="2"/>
      <c r="I69" s="2"/>
      <c r="J69" s="2"/>
      <c r="K69" s="2"/>
      <c r="L69" s="2"/>
      <c r="M69" s="2"/>
      <c r="N69" s="2"/>
      <c r="O69" s="2"/>
      <c r="P69" s="2"/>
      <c r="Q69" s="2"/>
      <c r="R69" s="2"/>
      <c r="S69" s="2"/>
      <c r="T69" s="2"/>
      <c r="U69" s="2"/>
      <c r="V69" s="2"/>
      <c r="W69" s="2"/>
      <c r="X69" s="2"/>
      <c r="Y69" s="2"/>
      <c r="Z69" s="2"/>
      <c r="AA69" s="2"/>
      <c r="AB69" s="2"/>
      <c r="AC69" s="2"/>
    </row>
    <row r="70" spans="1:29">
      <c r="A70" s="2" t="s">
        <v>5962</v>
      </c>
      <c r="B70" s="206" t="s">
        <v>5662</v>
      </c>
      <c r="C70" s="2">
        <f>D70+E70</f>
        <v>0</v>
      </c>
      <c r="D70" s="2" t="s">
        <v>5963</v>
      </c>
      <c r="E70" s="2" t="s">
        <v>5755</v>
      </c>
      <c r="F70" s="2" t="s">
        <v>5757</v>
      </c>
      <c r="G70" s="2" t="s">
        <v>5964</v>
      </c>
      <c r="H70" s="2"/>
      <c r="I70" s="2"/>
      <c r="J70" s="2"/>
      <c r="K70" s="2"/>
      <c r="L70" s="2"/>
      <c r="M70" s="2"/>
      <c r="N70" s="2"/>
      <c r="O70" s="2"/>
      <c r="P70" s="2"/>
      <c r="Q70" s="2"/>
      <c r="R70" s="2"/>
      <c r="S70" s="2"/>
      <c r="T70" s="2"/>
      <c r="U70" s="2"/>
      <c r="V70" s="2"/>
      <c r="W70" s="2"/>
      <c r="X70" s="2"/>
      <c r="Y70" s="2"/>
      <c r="Z70" s="2"/>
      <c r="AA70" s="2"/>
      <c r="AB70" s="2"/>
      <c r="AC70" s="2"/>
    </row>
    <row r="71" spans="1:29">
      <c r="A71" s="2" t="s">
        <v>5969</v>
      </c>
      <c r="B71" s="206" t="s">
        <v>5662</v>
      </c>
      <c r="C71" s="2"/>
      <c r="D71" s="2" t="s">
        <v>5662</v>
      </c>
      <c r="E71" s="2" t="s">
        <v>5970</v>
      </c>
      <c r="F71" s="2" t="s">
        <v>5971</v>
      </c>
      <c r="G71" s="2" t="s">
        <v>5972</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5649</v>
      </c>
      <c r="I82" s="2" t="s">
        <v>191</v>
      </c>
      <c r="J82" s="2" t="s">
        <v>5982</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5145</v>
      </c>
      <c r="E1" s="11"/>
      <c r="F1" s="11"/>
      <c r="G1" s="11"/>
      <c r="H1" s="11"/>
      <c r="I1" s="11"/>
    </row>
    <row r="2" spans="1:15">
      <c r="A2" s="11">
        <v>1</v>
      </c>
      <c r="B2" s="11" t="s">
        <v>5055</v>
      </c>
      <c r="C2" s="26">
        <v>28500</v>
      </c>
      <c r="D2" s="11" t="s">
        <v>5148</v>
      </c>
      <c r="E2" s="11"/>
      <c r="F2" s="11"/>
      <c r="G2" s="11"/>
      <c r="H2" s="11"/>
      <c r="I2" s="11"/>
    </row>
    <row r="3" spans="1:15">
      <c r="A3" s="11">
        <v>2</v>
      </c>
      <c r="B3" s="11" t="s">
        <v>5082</v>
      </c>
      <c r="C3" s="26">
        <v>180200</v>
      </c>
      <c r="D3" s="11" t="s">
        <v>5147</v>
      </c>
      <c r="E3" s="11"/>
      <c r="F3" s="11"/>
      <c r="G3" s="11"/>
      <c r="H3" s="11"/>
      <c r="I3" s="11"/>
    </row>
    <row r="4" spans="1:15">
      <c r="A4" s="11">
        <v>3</v>
      </c>
      <c r="B4" s="11" t="s">
        <v>5141</v>
      </c>
      <c r="C4" s="26">
        <v>187000</v>
      </c>
      <c r="D4" s="11" t="s">
        <v>5146</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5243</v>
      </c>
      <c r="F2" s="11" t="s">
        <v>1152</v>
      </c>
      <c r="G2" s="11" t="s">
        <v>861</v>
      </c>
      <c r="H2" s="11" t="s">
        <v>5260</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ساله'!D33</f>
        <v>2709</v>
      </c>
      <c r="H4" s="37">
        <f>C4*G4</f>
        <v>799155000</v>
      </c>
    </row>
    <row r="5" spans="1:8">
      <c r="A5" s="11"/>
      <c r="B5" s="11" t="s">
        <v>4283</v>
      </c>
      <c r="C5" s="11">
        <v>2850</v>
      </c>
      <c r="D5" s="37">
        <v>4015726</v>
      </c>
      <c r="E5" s="37">
        <f>D5/C5</f>
        <v>1409.0266666666666</v>
      </c>
      <c r="F5" s="37">
        <f>E5*1.01</f>
        <v>1423.1169333333332</v>
      </c>
      <c r="G5" s="11">
        <v>2600</v>
      </c>
      <c r="H5" s="37">
        <f>C5*G5</f>
        <v>7410000</v>
      </c>
    </row>
    <row r="6" spans="1:8">
      <c r="A6" s="11" t="s">
        <v>5242</v>
      </c>
      <c r="B6" s="11" t="s">
        <v>5154</v>
      </c>
      <c r="C6" s="11">
        <v>0</v>
      </c>
      <c r="D6" s="37">
        <v>683292</v>
      </c>
      <c r="E6" s="37"/>
      <c r="F6" s="37"/>
      <c r="G6" s="11">
        <v>870</v>
      </c>
      <c r="H6" s="37">
        <f>D6</f>
        <v>683292</v>
      </c>
    </row>
    <row r="7" spans="1:8">
      <c r="A7" s="11" t="s">
        <v>5242</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5260</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2709</v>
      </c>
      <c r="H19" s="37">
        <f>C19*G19</f>
        <v>35043624</v>
      </c>
    </row>
    <row r="20" spans="1:8">
      <c r="A20" s="11"/>
      <c r="B20" s="11" t="s">
        <v>5154</v>
      </c>
      <c r="C20" s="11">
        <v>4687</v>
      </c>
      <c r="D20" s="37">
        <v>1911597</v>
      </c>
      <c r="E20" s="37">
        <f>D20/C20</f>
        <v>407.85086409216984</v>
      </c>
      <c r="F20" s="37">
        <f>E20*1.01</f>
        <v>411.92937273309155</v>
      </c>
      <c r="G20" s="11">
        <f>G6</f>
        <v>870</v>
      </c>
      <c r="H20" s="37">
        <f>C20*G20</f>
        <v>4077690</v>
      </c>
    </row>
    <row r="21" spans="1:8">
      <c r="A21" s="11" t="s">
        <v>5242</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5261</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2023-05-04T16:27:33Z</dcterms:modified>
</cp:coreProperties>
</file>