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48" i="18" l="1"/>
  <c r="O60" i="18" s="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T77" i="18" l="1"/>
  <c r="O41" i="18"/>
  <c r="O40" i="18"/>
  <c r="I8" i="60" l="1"/>
  <c r="T154" i="18"/>
  <c r="G36" i="63" l="1"/>
  <c r="I36" i="63"/>
  <c r="O36" i="63"/>
  <c r="G10" i="63"/>
  <c r="J36" i="63" l="1"/>
  <c r="K36" i="63" s="1"/>
  <c r="W175"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5" i="18"/>
  <c r="F241" i="60" l="1"/>
  <c r="J241" i="60" s="1"/>
  <c r="G241" i="60" l="1"/>
  <c r="H241" i="60" s="1"/>
  <c r="I241" i="60"/>
  <c r="F242" i="60"/>
  <c r="F18" i="60"/>
  <c r="J242" i="60" l="1"/>
  <c r="I242" i="60"/>
  <c r="G242" i="60"/>
  <c r="H242" i="60" s="1"/>
  <c r="F244" i="60"/>
  <c r="F243" i="60"/>
  <c r="T144" i="18"/>
  <c r="J243" i="60" l="1"/>
  <c r="I243" i="60"/>
  <c r="G243" i="60"/>
  <c r="H243" i="60" s="1"/>
  <c r="J244" i="60"/>
  <c r="I244" i="60"/>
  <c r="G244" i="60"/>
  <c r="H244"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70" i="60" l="1"/>
  <c r="H312" i="18" l="1"/>
  <c r="X534" i="18"/>
  <c r="T139" i="18"/>
  <c r="I24" i="63"/>
  <c r="I25" i="63"/>
  <c r="G25" i="63"/>
  <c r="H25" i="63"/>
  <c r="J25" i="63" l="1"/>
  <c r="K25" i="63" s="1"/>
  <c r="X533"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42" i="63"/>
  <c r="G42" i="63"/>
  <c r="J231" i="60" l="1"/>
  <c r="J233" i="60" s="1"/>
  <c r="J42" i="63"/>
  <c r="K42"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H180" i="60"/>
  <c r="F191" i="60"/>
  <c r="F199" i="60"/>
  <c r="F181" i="60"/>
  <c r="F182" i="60"/>
  <c r="F183" i="60"/>
  <c r="F184" i="60"/>
  <c r="F185" i="60"/>
  <c r="F186" i="60"/>
  <c r="F187" i="60"/>
  <c r="F188" i="60"/>
  <c r="F189" i="60"/>
  <c r="F190" i="60"/>
  <c r="F192" i="60"/>
  <c r="F193" i="60"/>
  <c r="F194" i="60"/>
  <c r="F195" i="60"/>
  <c r="F196" i="60"/>
  <c r="F197" i="60"/>
  <c r="F198" i="60"/>
  <c r="F180" i="60"/>
  <c r="D191" i="60"/>
  <c r="S171" i="60" l="1"/>
  <c r="R169" i="60"/>
  <c r="R168" i="60" s="1"/>
  <c r="X532"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31" i="18" l="1"/>
  <c r="T138" i="18"/>
  <c r="X530" i="18" l="1"/>
  <c r="T137" i="18"/>
  <c r="X529" i="18" l="1"/>
  <c r="T136" i="18"/>
  <c r="X528"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D201" i="60" l="1"/>
  <c r="F201" i="60"/>
  <c r="H201" i="60"/>
  <c r="J201" i="60"/>
  <c r="J203" i="60" s="1"/>
  <c r="D173" i="60"/>
  <c r="L173" i="60"/>
  <c r="L175" i="60" s="1"/>
  <c r="I35" i="63"/>
  <c r="T135" i="18" l="1"/>
  <c r="I34" i="63"/>
  <c r="G35" i="63"/>
  <c r="H35" i="63"/>
  <c r="O35" i="63"/>
  <c r="O43" i="63"/>
  <c r="N36" i="63" l="1"/>
  <c r="J35" i="63"/>
  <c r="K35" i="63" s="1"/>
  <c r="J169" i="60"/>
  <c r="H169" i="60"/>
  <c r="F169"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501" i="18" l="1"/>
  <c r="X500"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31" i="60"/>
  <c r="E133" i="60"/>
  <c r="E134" i="60"/>
  <c r="E135" i="60"/>
  <c r="E132"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14" i="60"/>
  <c r="D114" i="60"/>
  <c r="D120" i="60" s="1"/>
  <c r="S145" i="60" l="1"/>
  <c r="R144" i="60"/>
  <c r="I115" i="60"/>
  <c r="R143" i="60" l="1"/>
  <c r="S144" i="60"/>
  <c r="F115" i="60"/>
  <c r="I116" i="60" s="1"/>
  <c r="F116" i="60" s="1"/>
  <c r="I117" i="60" s="1"/>
  <c r="X484" i="18"/>
  <c r="S143" i="60" l="1"/>
  <c r="R142" i="60"/>
  <c r="F117" i="60"/>
  <c r="F120" i="60" s="1"/>
  <c r="S142" i="60" l="1"/>
  <c r="R141" i="60"/>
  <c r="AK489" i="18"/>
  <c r="R140" i="60" l="1"/>
  <c r="S141" i="60"/>
  <c r="S173" i="60" s="1"/>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S186" i="18" s="1"/>
  <c r="AN120" i="18" l="1"/>
  <c r="AM119" i="18"/>
  <c r="AN119" i="18" l="1"/>
  <c r="AM118" i="18"/>
  <c r="T86" i="18"/>
  <c r="T87" i="18" s="1"/>
  <c r="S191" i="18"/>
  <c r="S189" i="18"/>
  <c r="D57" i="51"/>
  <c r="T88" i="18" l="1"/>
  <c r="T89" i="18" s="1"/>
  <c r="T90" i="18" s="1"/>
  <c r="AM117" i="18"/>
  <c r="AN118" i="18"/>
  <c r="AN117" i="18" l="1"/>
  <c r="AM116" i="18"/>
  <c r="T91" i="18"/>
  <c r="T92" i="18" s="1"/>
  <c r="N35" i="18"/>
  <c r="S188"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7" i="18"/>
  <c r="S201" i="18" s="1"/>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<sst xmlns="http://schemas.openxmlformats.org/spreadsheetml/2006/main" count="17110" uniqueCount="7151">
  <si>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</si>
  <si>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</si>
  <si>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</si>
  <si>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</si>
  <si>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</si>
  <si>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</si>
  <si>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</si>
  <si>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</si>
  <si>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</si>
  <si>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</si>
  <si>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</si>
  <si>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</si>
  <si>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</si>
  <si>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</si>
  <si>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</si>
  <si>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</si>
  <si>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</si>
  <si>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</si>
  <si>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</si>
  <si>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</si>
  <si>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</si>
  <si>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</si>
  <si>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</si>
  <si>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</si>
  <si>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</si>
  <si>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</si>
  <si>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</si>
  <si>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</si>
  <si>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</si>
  <si>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</si>
  <si>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</si>
  <si>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</si>
  <si>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</si>
  <si>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</si>
  <si>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</si>
  <si>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</si>
  <si>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</si>
  <si>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</si>
  <si>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</si>
  <si>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</si>
  <si>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</si>
  <si>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</si>
  <si>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</si>
  <si>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</si>
  <si>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</si>
  <si>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</si>
  <si>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</si>
  <si>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</si>
  <si>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</si>
  <si>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</si>
  <si>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</si>
  <si>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</si>
  <si>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</si>
  <si>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</si>
  <si>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</si>
  <si>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</si>
  <si>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</si>
  <si>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</si>
  <si>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</si>
  <si>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</si>
  <si>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</si>
  <si>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</si>
  <si>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</si>
  <si>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</si>
  <si>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</si>
  <si>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</si>
  <si>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</si>
  <si>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</si>
  <si>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</si>
  <si>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</si>
  <si>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</si>
  <si>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</si>
  <si>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</si>
  <si>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</si>
  <si>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</si>
  <si>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</si>
  <si>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</si>
  <si>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</si>
  <si>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</si>
  <si>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</si>
  <si>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</si>
  <si>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</si>
  <si>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</si>
  <si>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</si>
  <si>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</si>
  <si>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</si>
  <si>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</si>
  <si>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</si>
  <si>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</si>
  <si>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</si>
  <si>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</si>
  <si>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</si>
  <si>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</si>
  <si>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</si>
  <si>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</si>
  <si>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</si>
  <si>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</si>
  <si>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</si>
  <si>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</si>
  <si>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</si>
  <si>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</si>
  <si>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</si>
  <si>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</si>
  <si>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</si>
  <si>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</si>
  <si>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</si>
  <si>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</si>
  <si>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</si>
  <si>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</si>
  <si>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</si>
  <si>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</si>
  <si>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</si>
  <si>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</si>
  <si>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</si>
  <si>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</si>
  <si>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</si>
  <si>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</si>
  <si>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</si>
  <si>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</si>
  <si>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</si>
  <si>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</si>
  <si>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</si>
  <si>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</si>
  <si>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</si>
  <si>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</si>
  <si>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</si>
  <si>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</si>
  <si>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</si>
  <si>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</si>
  <si>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</si>
  <si>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</si>
  <si>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</si>
  <si>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</si>
  <si>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</si>
  <si>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</si>
  <si>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</si>
  <si>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</si>
  <si>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</si>
  <si>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</si>
  <si>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</si>
  <si>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</si>
  <si>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</si>
  <si>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</si>
  <si>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</si>
  <si>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</si>
  <si>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</si>
  <si>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</si>
  <si>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</si>
  <si>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</si>
  <si>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</si>
  <si>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</si>
  <si>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</si>
  <si>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</si>
  <si>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</si>
  <si>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</si>
  <si>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</si>
  <si>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</si>
  <si>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</si>
  <si>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</si>
  <si>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</si>
  <si>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</si>
  <si>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</si>
  <si>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</si>
  <si>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</si>
  <si>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</si>
  <si>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</si>
  <si>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</si>
  <si>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</si>
  <si>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</si>
  <si>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</si>
  <si>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</si>
  <si>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</si>
  <si>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</si>
  <si>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</si>
  <si>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</si>
  <si>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</si>
  <si>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</si>
  <si>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</si>
  <si>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</si>
  <si>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</si>
  <si>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</si>
  <si>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</si>
  <si>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</si>
  <si>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</si>
  <si>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</si>
  <si>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</si>
  <si>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</si>
  <si>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</si>
  <si>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</si>
  <si>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</si>
  <si>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</si>
  <si>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</si>
  <si>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</si>
  <si>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</si>
  <si>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</si>
  <si>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</si>
  <si>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</si>
  <si>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</si>
  <si>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</si>
  <si>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</si>
  <si>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</si>
  <si>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</si>
  <si>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</si>
  <si>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</si>
  <si>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</si>
  <si>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</si>
  <si>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</si>
  <si>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</si>
  <si>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</si>
  <si>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</si>
  <si>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</si>
  <si>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</si>
  <si>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</si>
  <si>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</si>
  <si>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</si>
  <si>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</si>
  <si>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</si>
  <si>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</si>
  <si>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</si>
  <si>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</si>
  <si>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</si>
  <si>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</si>
  <si>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</si>
  <si>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</si>
  <si>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</si>
  <si>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</si>
  <si>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</si>
  <si>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</si>
  <si>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</si>
  <si>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</si>
  <si>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</si>
  <si>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</si>
  <si>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</si>
  <si>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</si>
  <si>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</si>
  <si>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</si>
  <si>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</si>
  <si>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</si>
  <si>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</si>
  <si>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</si>
  <si>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</si>
  <si>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</si>
  <si>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</si>
  <si>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</si>
  <si>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</si>
  <si>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</si>
  <si>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</si>
  <si>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</si>
  <si>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</si>
  <si>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</si>
  <si>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</si>
  <si>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</si>
  <si>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</si>
  <si>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</si>
  <si>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</si>
  <si>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</si>
  <si>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</si>
  <si>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</si>
  <si>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</si>
  <si>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</si>
  <si>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</si>
  <si>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</si>
  <si>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</si>
  <si>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</si>
  <si>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</si>
  <si>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</si>
  <si>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</si>
  <si>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</si>
  <si>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</si>
  <si>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</si>
  <si>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</si>
  <si>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</si>
  <si>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</si>
  <si>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</si>
  <si>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</si>
  <si>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</si>
  <si>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</si>
  <si>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</si>
  <si>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</si>
  <si>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</si>
  <si>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</si>
  <si>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</si>
  <si>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</si>
  <si>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</si>
  <si>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</si>
  <si>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</si>
  <si>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</si>
  <si>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</si>
  <si>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</si>
  <si>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</si>
  <si>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</si>
  <si>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</si>
  <si>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</si>
  <si>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</si>
  <si>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</si>
  <si>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</si>
  <si>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</si>
  <si>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</si>
  <si>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</si>
  <si>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</si>
  <si>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</si>
  <si>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</si>
  <si>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</si>
  <si>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</si>
  <si>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</si>
  <si>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</si>
  <si>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</si>
  <si>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</si>
  <si>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</si>
  <si>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</si>
  <si>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</si>
  <si>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</si>
  <si>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</si>
  <si>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</si>
  <si>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</si>
  <si>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</si>
  <si>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</si>
  <si>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</si>
  <si>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</si>
  <si>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</si>
  <si>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</si>
  <si>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</si>
  <si>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</si>
  <si>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</si>
  <si>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</si>
  <si>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</si>
  <si>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</si>
  <si>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</si>
  <si>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</si>
  <si>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</si>
  <si>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</si>
  <si>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</si>
  <si>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</si>
  <si>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</si>
  <si>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</si>
  <si>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</si>
  <si>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</si>
  <si>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</si>
  <si>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</si>
  <si>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</si>
  <si>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</si>
  <si>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</si>
  <si>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</si>
  <si>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</si>
  <si>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</si>
  <si>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</si>
  <si>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</si>
  <si>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</si>
  <si>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</si>
  <si>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</si>
  <si>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</si>
  <si>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</si>
  <si>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</si>
  <si>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</si>
  <si>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</si>
  <si>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</si>
  <si>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</si>
  <si>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</si>
  <si>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</si>
  <si>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</si>
  <si>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</si>
  <si>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</si>
  <si>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</si>
  <si>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</si>
  <si>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</si>
  <si>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</si>
  <si>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</si>
  <si>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</si>
  <si>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</si>
  <si>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</si>
  <si>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</si>
  <si>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</si>
  <si>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</si>
  <si>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</si>
  <si>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</si>
  <si>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</si>
  <si>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</si>
  <si>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</si>
  <si>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</si>
  <si>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</si>
  <si>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</si>
  <si>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</si>
  <si>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</si>
  <si>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</si>
  <si>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</si>
  <si>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</si>
  <si>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</si>
  <si>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</si>
  <si>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</si>
  <si>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</si>
  <si>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</si>
  <si>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</si>
  <si>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</si>
  <si>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</si>
  <si>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</si>
  <si>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</si>
  <si>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</si>
  <si>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</si>
  <si>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</si>
  <si>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</si>
  <si>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</si>
  <si>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</si>
  <si>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</si>
  <si>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</si>
  <si>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</si>
  <si>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</si>
  <si>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</si>
  <si>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</si>
  <si>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</si>
  <si>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</si>
  <si>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</si>
  <si>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</si>
  <si>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</si>
  <si>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</si>
  <si>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</si>
  <si>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</si>
  <si>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</si>
  <si>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</si>
  <si>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</si>
  <si>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</si>
  <si>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</si>
  <si>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</si>
  <si>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</si>
  <si>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</si>
  <si>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</si>
  <si>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</si>
  <si>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</si>
  <si>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</si>
  <si>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</si>
  <si>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</si>
  <si>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</si>
  <si>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</si>
  <si>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</si>
  <si>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</si>
  <si>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</si>
  <si>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</si>
  <si>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</si>
  <si>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</si>
  <si>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</si>
  <si>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</si>
  <si>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</si>
  <si>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</si>
  <si>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</si>
  <si>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</si>
  <si>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</si>
  <si>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</si>
  <si>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</si>
  <si>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</si>
  <si>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</si>
  <si>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</si>
  <si>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</si>
  <si>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</si>
  <si>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</si>
  <si>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</si>
  <si>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</si>
  <si>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</si>
  <si>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</si>
  <si>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</si>
  <si>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</si>
  <si>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</si>
  <si>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</si>
  <si>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</si>
  <si>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</si>
  <si>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</si>
  <si>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</si>
  <si>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</si>
  <si>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</si>
  <si>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</si>
  <si>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</si>
  <si>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</si>
  <si>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</si>
  <si>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</si>
  <si>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</si>
  <si>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</si>
  <si>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</si>
  <si>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</si>
  <si>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</si>
  <si>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</si>
  <si>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</si>
  <si>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</si>
  <si>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</si>
  <si>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</si>
  <si>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</si>
  <si>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</si>
  <si>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</si>
  <si>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</si>
  <si>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</si>
  <si>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</si>
  <si>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</si>
  <si>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</si>
  <si>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</si>
  <si>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</si>
  <si>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</si>
  <si>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</si>
  <si>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</si>
  <si>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</si>
  <si>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</si>
  <si>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</si>
  <si>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</si>
  <si>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</si>
  <si>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</si>
  <si>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</si>
  <si>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</si>
  <si>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</si>
  <si>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</si>
  <si>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</si>
  <si>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</si>
  <si>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</si>
  <si>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</si>
  <si>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</si>
  <si>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</si>
  <si>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</si>
  <si>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</si>
  <si>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</si>
  <si>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</si>
  <si>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</si>
  <si>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</si>
  <si>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</si>
  <si>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</si>
  <si>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</si>
  <si>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</si>
  <si>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</si>
  <si>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</si>
  <si>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</si>
  <si>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</si>
  <si>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</si>
  <si>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</si>
  <si>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</si>
  <si>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</si>
  <si>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</si>
  <si>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</si>
  <si>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</si>
  <si>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</si>
  <si>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</si>
  <si>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</si>
  <si>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</si>
  <si>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</si>
  <si>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</si>
  <si>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</si>
  <si>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</si>
  <si>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</si>
  <si>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</si>
  <si>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</si>
  <si>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</si>
  <si>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</si>
  <si>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</si>
  <si>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</si>
  <si>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</si>
  <si>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</si>
  <si>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</si>
  <si>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</si>
  <si>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</si>
  <si>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</si>
  <si>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</si>
  <si>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</si>
  <si>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</si>
  <si>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</si>
  <si>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</si>
  <si>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</si>
  <si>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</si>
  <si>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</si>
  <si>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</si>
  <si>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</si>
  <si>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</si>
  <si>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</si>
  <si>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</si>
  <si>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</si>
  <si>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</si>
  <si>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</si>
  <si>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</si>
  <si>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</si>
  <si>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</si>
  <si>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</si>
  <si>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</si>
  <si>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</si>
  <si>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</si>
  <si>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</si>
  <si>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</si>
  <si>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</si>
  <si>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</si>
  <si>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</si>
  <si>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</si>
  <si>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</si>
  <si>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</si>
  <si>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</si>
  <si>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</si>
  <si>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</si>
  <si>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</si>
  <si>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</si>
  <si>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</si>
  <si>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</si>
  <si>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</si>
  <si>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</si>
  <si>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</si>
  <si>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</si>
  <si>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</si>
  <si>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</si>
  <si>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</si>
  <si>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</si>
  <si>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</si>
  <si>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</si>
  <si>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</si>
  <si>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</si>
  <si>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</si>
  <si>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</si>
  <si>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</si>
  <si>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</si>
  <si>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</si>
  <si>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</si>
  <si>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</si>
  <si>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</si>
  <si>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</si>
  <si>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</si>
  <si>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</si>
  <si>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</si>
  <si>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</si>
  <si>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</si>
  <si>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</si>
  <si>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</si>
  <si>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</si>
  <si>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</si>
  <si>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</si>
  <si>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</si>
  <si>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</si>
  <si>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</si>
  <si>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</si>
  <si>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</si>
  <si>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</si>
  <si>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</si>
  <si>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</si>
  <si>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</si>
  <si>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</si>
  <si>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</si>
  <si>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</si>
  <si>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</si>
  <si>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</si>
  <si>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</si>
  <si>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</si>
  <si>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</si>
  <si>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</si>
  <si>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</si>
  <si>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</si>
  <si>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</si>
  <si>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</si>
  <si>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</si>
  <si>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</si>
  <si>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</si>
  <si>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</si>
  <si>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</si>
  <si>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</si>
  <si>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</si>
  <si>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</si>
  <si>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</si>
  <si>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</si>
  <si>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</si>
  <si>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</si>
  <si>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</si>
  <si>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</si>
  <si>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</si>
  <si>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</si>
  <si>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</si>
  <si>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</si>
  <si>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</si>
  <si>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</si>
  <si>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</si>
  <si>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</si>
  <si>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</si>
  <si>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</si>
  <si>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</si>
  <si>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</si>
  <si>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</si>
  <si>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</si>
  <si>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</si>
  <si>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</si>
  <si>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</si>
  <si>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</si>
  <si>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</si>
  <si>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</si>
  <si>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</si>
  <si>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</si>
  <si>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</si>
  <si>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</si>
  <si>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</si>
  <si>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</si>
  <si>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</si>
  <si>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</si>
  <si>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</si>
  <si>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</si>
  <si>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</si>
  <si>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</si>
  <si>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</si>
  <si>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</si>
  <si>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</si>
  <si>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</si>
  <si>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</si>
  <si>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</si>
  <si>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</si>
  <si>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</si>
  <si>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</si>
  <si>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</si>
  <si>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</si>
  <si>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</si>
  <si>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</si>
  <si>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</si>
  <si>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</si>
  <si>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</si>
  <si>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</si>
  <si>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</si>
  <si>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</si>
  <si>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</si>
  <si>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</si>
  <si>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</si>
  <si>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</si>
  <si>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</si>
  <si>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</si>
  <si>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</si>
  <si>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</si>
  <si>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</si>
  <si>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</si>
  <si>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</si>
  <si>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</si>
  <si>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</si>
  <si>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</si>
  <si>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</si>
  <si>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</si>
  <si>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</si>
  <si>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</si>
  <si>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</si>
  <si>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</si>
  <si>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</si>
  <si>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</si>
  <si>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</si>
  <si>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</si>
  <si>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</si>
  <si>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</si>
  <si>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</si>
  <si>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</si>
  <si>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</si>
  <si>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</si>
  <si>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</si>
  <si>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</si>
  <si>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</si>
  <si>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</si>
  <si>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</si>
  <si>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</si>
  <si>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</si>
  <si>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</si>
  <si>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</si>
  <si>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</si>
  <si>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</si>
  <si>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</si>
  <si>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</si>
  <si>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</si>
  <si>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</si>
  <si>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</si>
  <si>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</si>
  <si>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</si>
  <si>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</si>
  <si>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</si>
  <si>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</si>
  <si>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</si>
  <si>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</si>
  <si>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</si>
  <si>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</si>
  <si>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</si>
  <si>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</si>
  <si>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</si>
  <si>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</si>
  <si>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</si>
  <si>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</si>
  <si>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</si>
  <si>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</si>
  <si>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</si>
  <si>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</si>
  <si>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</si>
  <si>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</si>
  <si>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</si>
  <si>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</si>
  <si>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</si>
  <si>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</si>
  <si>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</si>
  <si>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</si>
  <si>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</si>
  <si>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</si>
  <si>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</si>
  <si>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</si>
  <si>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</si>
  <si>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</si>
  <si>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</si>
  <si>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</si>
  <si>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</si>
  <si>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</si>
  <si>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</si>
  <si>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</si>
  <si>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</si>
  <si>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</si>
  <si>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</si>
  <si>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</si>
  <si>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</si>
  <si>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</si>
  <si>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</si>
  <si>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</si>
  <si>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</si>
  <si>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</si>
  <si>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</si>
  <si>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</si>
  <si>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</si>
  <si>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</si>
  <si>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</si>
  <si>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</si>
  <si>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</si>
  <si>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</si>
  <si>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</si>
  <si>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</si>
  <si>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</si>
  <si>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</si>
  <si>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</si>
  <si>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</si>
  <si>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</si>
  <si>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</si>
  <si>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</si>
  <si>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</si>
  <si>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</si>
  <si>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</si>
  <si>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</si>
  <si>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</si>
  <si>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</si>
  <si>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</si>
  <si>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</si>
  <si>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</si>
  <si>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</si>
  <si>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</si>
  <si>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</si>
  <si>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</si>
  <si>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</si>
  <si>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</si>
  <si>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</si>
  <si>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</si>
  <si>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</si>
  <si>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</si>
  <si>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</si>
  <si>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</si>
  <si>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</si>
  <si>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</si>
  <si>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</si>
  <si>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</si>
  <si>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</si>
  <si>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</si>
  <si>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</si>
  <si>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</si>
  <si>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</si>
  <si>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</si>
  <si>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</si>
  <si>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</si>
  <si>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</si>
  <si>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</si>
  <si>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</si>
  <si>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</si>
  <si>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</si>
  <si>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</si>
  <si>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</si>
  <si>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</si>
  <si>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</si>
  <si>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</si>
  <si>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</si>
  <si>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</si>
  <si>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</si>
  <si>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</si>
  <si>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</si>
  <si>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</si>
  <si>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</si>
  <si>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</si>
  <si>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</si>
  <si>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</si>
  <si>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</si>
  <si>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</si>
  <si>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</si>
  <si>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</si>
  <si>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</si>
  <si>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</si>
  <si>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</si>
  <si>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</si>
  <si>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</si>
  <si>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</si>
  <si>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</si>
  <si>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</si>
  <si>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</si>
  <si>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</si>
  <si>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</si>
  <si>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</si>
  <si>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</si>
  <si>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</si>
  <si>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</si>
  <si>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</si>
  <si>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</si>
  <si>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</si>
  <si>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</si>
  <si>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</si>
  <si>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</si>
  <si>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</si>
  <si>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</si>
  <si>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</si>
  <si>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</si>
  <si>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</si>
  <si>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</si>
  <si>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</si>
  <si>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</si>
  <si>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</si>
  <si>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</si>
  <si>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</si>
  <si>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</si>
  <si>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</si>
  <si>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</si>
  <si>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</si>
  <si>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</si>
  <si>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</si>
  <si>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</si>
  <si>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</si>
  <si>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</si>
  <si>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</si>
  <si>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</si>
  <si>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</si>
  <si>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</si>
  <si>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</si>
  <si>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</si>
  <si>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</si>
  <si>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</si>
  <si>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</si>
  <si>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</si>
  <si>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</si>
  <si>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</si>
  <si>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</si>
  <si>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</si>
  <si>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</si>
  <si>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</si>
  <si>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</si>
  <si>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</si>
  <si>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</si>
  <si>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</si>
  <si>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</si>
  <si>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</si>
  <si>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</si>
  <si>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</si>
  <si>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</si>
  <si>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</si>
  <si>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</si>
  <si>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</si>
  <si>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</si>
  <si>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</si>
  <si>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</si>
  <si>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</si>
  <si>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</si>
  <si>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</si>
  <si>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</si>
  <si>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</si>
  <si>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</si>
  <si>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</si>
  <si>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</si>
  <si>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</si>
  <si>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</si>
  <si>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</si>
  <si>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</si>
  <si>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</si>
  <si>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</si>
  <si>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</si>
  <si>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</si>
  <si>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</si>
  <si>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</si>
  <si>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</si>
  <si>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</si>
  <si>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</si>
  <si>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</si>
  <si>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</si>
  <si>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</si>
  <si>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</si>
  <si>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</si>
  <si>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</si>
  <si>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</si>
  <si>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</si>
  <si>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</si>
  <si>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</si>
  <si>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</si>
  <si>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</si>
  <si>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</si>
  <si>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</si>
  <si>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</si>
  <si>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</si>
  <si>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</si>
  <si>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</si>
  <si>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</si>
  <si>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</si>
  <si>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</si>
  <si>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</si>
  <si>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</si>
  <si>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</si>
  <si>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</si>
  <si>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</si>
  <si>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</si>
  <si>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</si>
  <si>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</si>
  <si>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</si>
  <si>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</si>
  <si>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</si>
  <si>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</si>
  <si>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</si>
  <si>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</si>
  <si>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</si>
  <si>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</si>
  <si>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</si>
  <si>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</si>
  <si>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</si>
  <si>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</si>
  <si>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</si>
  <si>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</si>
  <si>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</si>
  <si>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</si>
  <si>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</si>
  <si>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</si>
  <si>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</si>
  <si>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</si>
  <si>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</si>
  <si>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</si>
  <si>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</si>
  <si>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</si>
  <si>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</si>
  <si>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</si>
  <si>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</si>
  <si>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</si>
  <si>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</si>
  <si>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</si>
  <si>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</si>
  <si>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</si>
  <si>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</si>
  <si>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</si>
  <si>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</si>
  <si>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</si>
  <si>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</si>
  <si>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</si>
  <si>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</si>
  <si>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</si>
  <si>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</si>
  <si>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</si>
  <si>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</si>
  <si>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</si>
  <si>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</si>
  <si>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</si>
  <si>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</si>
  <si>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</si>
  <si>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</si>
  <si>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</si>
  <si>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</si>
  <si>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</si>
  <si>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</si>
  <si>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</si>
  <si>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</si>
  <si>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</si>
  <si>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</si>
  <si>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</si>
  <si>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</si>
  <si>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</si>
  <si>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</si>
  <si>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</si>
  <si>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</si>
  <si>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</si>
  <si>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</si>
  <si>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</si>
  <si>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</si>
  <si>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</si>
  <si>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</si>
  <si>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</si>
  <si>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</si>
  <si>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</si>
  <si>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</si>
  <si>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</si>
  <si>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</si>
  <si>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</si>
  <si>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</si>
  <si>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</si>
  <si>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</si>
  <si>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</si>
  <si>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</si>
  <si>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</si>
  <si>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</si>
  <si>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</si>
  <si>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</si>
  <si>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</si>
  <si>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</si>
  <si>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</si>
  <si>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</si>
  <si>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</si>
  <si>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</si>
  <si>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</si>
  <si>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</si>
  <si>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</si>
  <si>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</si>
  <si>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</si>
  <si>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</si>
  <si>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</si>
  <si>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</si>
  <si>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</si>
  <si>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</si>
  <si>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</si>
  <si>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</si>
  <si>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</si>
  <si>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</si>
  <si>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</si>
  <si>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</si>
  <si>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</si>
  <si>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</si>
  <si>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</si>
  <si>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</si>
  <si>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</si>
  <si>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</si>
  <si>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</si>
  <si>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</si>
  <si>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</si>
  <si>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</si>
  <si>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</si>
  <si>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</si>
  <si>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</si>
  <si>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</si>
  <si>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</si>
  <si>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</si>
  <si>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</si>
  <si>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</si>
  <si>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</si>
  <si>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</si>
  <si>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</si>
  <si>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</si>
  <si>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</si>
  <si>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</si>
  <si>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</si>
  <si>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</si>
  <si>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</si>
  <si>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</si>
  <si>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</si>
  <si>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</si>
  <si>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</si>
  <si>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</si>
  <si>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</si>
  <si>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</si>
  <si>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</si>
  <si>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</si>
  <si>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</si>
  <si>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</si>
  <si>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</si>
  <si>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</si>
  <si>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</si>
  <si>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</si>
  <si>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</si>
  <si>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</si>
  <si>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</si>
  <si>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</si>
  <si>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</si>
  <si>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</si>
  <si>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</si>
  <si>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</si>
  <si>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</si>
  <si>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</si>
  <si>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</si>
  <si>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</si>
  <si>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</si>
  <si>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</si>
  <si>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</si>
  <si>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</si>
  <si>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</si>
  <si>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</si>
  <si>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</si>
  <si>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</si>
  <si>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</si>
  <si>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</si>
  <si>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</si>
  <si>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</si>
  <si>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</si>
  <si>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</si>
  <si>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</si>
  <si>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</si>
  <si>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</si>
  <si>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</si>
  <si>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</si>
  <si>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</si>
  <si>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</si>
  <si>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</si>
  <si>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</si>
  <si>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</si>
  <si>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</si>
  <si>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</si>
  <si>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</si>
  <si>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</si>
  <si>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</si>
  <si>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</si>
  <si>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</si>
  <si>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</si>
  <si>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</si>
  <si>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</si>
  <si>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</si>
  <si>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</si>
  <si>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</si>
  <si>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</si>
  <si>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</si>
  <si>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</si>
  <si>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</si>
  <si>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</si>
  <si>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</si>
  <si>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</si>
  <si>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</si>
  <si>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</si>
  <si>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</si>
  <si>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</si>
  <si>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</si>
  <si>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</si>
  <si>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</si>
  <si>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</si>
  <si>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</si>
  <si>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</si>
  <si>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</si>
  <si>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</si>
  <si>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</si>
  <si>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</si>
  <si>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</si>
  <si>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</si>
  <si>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</si>
  <si>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</si>
  <si>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</si>
  <si>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</si>
  <si>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</si>
  <si>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</si>
  <si>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</si>
  <si>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</si>
  <si>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</si>
  <si>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</si>
  <si>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</si>
  <si>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</si>
  <si>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</si>
  <si>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</si>
  <si>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</si>
  <si>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</si>
  <si>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</si>
  <si>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</si>
  <si>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</si>
  <si>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</si>
  <si>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</si>
  <si>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</si>
  <si>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</si>
  <si>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</si>
  <si>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</si>
  <si>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</si>
  <si>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</si>
  <si>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</si>
  <si>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</si>
  <si>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</si>
  <si>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</si>
  <si>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</si>
  <si>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</si>
  <si>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</si>
  <si>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</si>
  <si>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</si>
  <si>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</si>
  <si>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</si>
  <si>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</si>
  <si>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</si>
  <si>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</si>
  <si>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</si>
  <si>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</si>
  <si>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</si>
  <si>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</si>
  <si>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</si>
  <si>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</si>
  <si>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</si>
  <si>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</si>
  <si>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</si>
  <si>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</si>
  <si>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</si>
  <si>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</si>
  <si>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</si>
  <si>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</si>
  <si>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</si>
  <si>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</si>
  <si>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</si>
  <si>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</si>
  <si>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</si>
  <si>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</si>
  <si>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</si>
  <si>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</si>
  <si>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</si>
  <si>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</si>
  <si>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</si>
  <si>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</si>
  <si>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</si>
  <si>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</si>
  <si>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</si>
  <si>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</si>
  <si>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</si>
  <si>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</si>
  <si>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</si>
  <si>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</si>
  <si>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</si>
  <si>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</si>
  <si>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</si>
  <si>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</si>
  <si>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</si>
  <si>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</si>
  <si>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</si>
  <si>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</si>
  <si>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</si>
  <si>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</si>
  <si>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</si>
  <si>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</si>
  <si>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</si>
  <si>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</si>
  <si>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</si>
  <si>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</si>
  <si>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</si>
  <si>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</si>
  <si>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</si>
  <si>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</si>
  <si>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</si>
  <si>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</si>
  <si>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</si>
  <si>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</si>
  <si>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</si>
  <si>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</si>
  <si>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</si>
  <si>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</si>
  <si>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</si>
  <si>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</si>
  <si>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</si>
  <si>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</si>
  <si>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</si>
  <si>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</si>
  <si>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</si>
  <si>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</si>
  <si>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</si>
  <si>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</si>
  <si>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</si>
  <si>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</si>
  <si>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</si>
  <si>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</si>
  <si>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</si>
  <si>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</si>
  <si>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</si>
  <si>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</si>
  <si>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</si>
  <si>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</si>
  <si>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</si>
  <si>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</si>
  <si>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</si>
  <si>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</si>
  <si>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</si>
  <si>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</si>
  <si>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</si>
  <si>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</si>
  <si>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</si>
  <si>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</si>
  <si>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</si>
  <si>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</si>
  <si>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</si>
  <si>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</si>
  <si>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</si>
  <si>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</si>
  <si>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</si>
  <si>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</si>
  <si>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</si>
  <si>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</si>
  <si>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</si>
  <si>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</si>
  <si>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</si>
  <si>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</si>
  <si>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</si>
  <si>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</si>
  <si>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</si>
  <si>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</si>
  <si>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</si>
  <si>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</si>
  <si>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</si>
  <si>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</si>
  <si>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</si>
  <si>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</si>
  <si>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</si>
  <si>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</si>
  <si>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</si>
  <si>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</si>
  <si>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</si>
  <si>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</si>
  <si>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</si>
  <si>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</si>
  <si>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</si>
  <si>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</si>
  <si>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</si>
  <si>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</si>
  <si>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</si>
  <si>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</si>
  <si>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</si>
  <si>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</si>
  <si>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</si>
  <si>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</si>
  <si>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</si>
  <si>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</si>
  <si>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</si>
  <si>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</si>
  <si>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</si>
  <si>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</si>
  <si>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</si>
  <si>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</si>
  <si>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</si>
  <si>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</si>
  <si>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</si>
  <si>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</si>
  <si>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</si>
  <si>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</si>
  <si>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</si>
  <si>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</si>
  <si>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</si>
  <si>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</si>
  <si>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</si>
  <si>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</si>
  <si>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</si>
  <si>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</si>
  <si>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</si>
  <si>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</si>
  <si>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</si>
  <si>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</si>
  <si>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</si>
  <si>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</si>
  <si>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</si>
  <si>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</si>
  <si>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</si>
  <si>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</si>
  <si>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</si>
  <si>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</si>
  <si>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</si>
  <si>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</si>
  <si>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</si>
  <si>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</si>
  <si>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</si>
  <si>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</si>
  <si>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</si>
  <si>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</si>
  <si>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</si>
  <si>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</si>
  <si>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</si>
  <si>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</si>
  <si>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</si>
  <si>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</si>
  <si>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</si>
  <si>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</si>
  <si>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</si>
  <si>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</si>
  <si>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</si>
  <si>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</si>
  <si>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</si>
  <si>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</si>
  <si>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</si>
  <si>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</si>
  <si>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</si>
  <si>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</si>
  <si>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</si>
  <si>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</si>
  <si>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</si>
  <si>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</si>
  <si>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</si>
  <si>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</si>
  <si>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</si>
  <si>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</si>
  <si>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</si>
  <si>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</si>
  <si>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</si>
  <si>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</si>
  <si>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</si>
  <si>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</si>
  <si>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</si>
  <si>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</si>
  <si>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</si>
  <si>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</si>
  <si>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</si>
  <si>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</si>
  <si>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</si>
  <si>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</si>
  <si>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</si>
  <si>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</si>
  <si>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</si>
  <si>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</si>
  <si>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</si>
  <si>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</si>
  <si>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</si>
  <si>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</si>
  <si>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</si>
  <si>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</si>
  <si>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</si>
  <si>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</si>
  <si>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</si>
  <si>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</si>
  <si>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</si>
  <si>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</si>
  <si>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</si>
  <si>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</si>
  <si>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</si>
  <si>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</si>
  <si>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</si>
  <si>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</si>
  <si>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</si>
  <si>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</si>
  <si>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</si>
  <si>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</si>
  <si>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</si>
  <si>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</si>
  <si>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</si>
  <si>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</si>
  <si>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</si>
  <si>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</si>
  <si>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</si>
  <si>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</si>
  <si>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</si>
  <si>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</si>
  <si>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</si>
  <si>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</si>
  <si>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</si>
  <si>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</si>
  <si>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</si>
  <si>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</si>
  <si>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</si>
  <si>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</si>
  <si>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</si>
  <si>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</si>
  <si>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</si>
  <si>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</si>
  <si>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</si>
  <si>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</si>
  <si>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</si>
  <si>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</si>
  <si>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</si>
  <si>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</si>
  <si>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</si>
  <si>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</si>
  <si>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</si>
  <si>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</si>
  <si>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</si>
  <si>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</si>
  <si>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</si>
  <si>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</si>
  <si>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</si>
  <si>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</si>
  <si>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</si>
  <si>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</si>
  <si>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</si>
  <si>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</si>
  <si>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</si>
  <si>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</si>
  <si>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</si>
  <si>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</si>
  <si>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</si>
  <si>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</si>
  <si>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</si>
  <si>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</si>
  <si>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</si>
  <si>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</si>
  <si>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</si>
  <si>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</si>
  <si>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</si>
  <si>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</si>
  <si>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</si>
  <si>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</si>
  <si>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</si>
  <si>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</si>
  <si>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</si>
  <si>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</si>
  <si>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</si>
  <si>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</si>
  <si>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</si>
  <si>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</si>
  <si>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</si>
  <si>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</si>
  <si>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</si>
  <si>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</si>
  <si>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</si>
  <si>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</si>
  <si>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</si>
  <si>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</si>
  <si>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</si>
  <si>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</si>
  <si>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</si>
  <si>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</si>
  <si>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</si>
  <si>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</si>
  <si>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</si>
  <si>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</si>
  <si>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</si>
  <si>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</si>
  <si>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</si>
  <si>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</si>
  <si>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</si>
  <si>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</si>
  <si>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</si>
  <si>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</si>
  <si>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</si>
  <si>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</si>
  <si>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</si>
  <si>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</si>
  <si>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</si>
  <si>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</si>
  <si>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</si>
  <si>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</si>
  <si>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</si>
  <si>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</si>
  <si>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</si>
  <si>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</si>
  <si>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</si>
  <si>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</si>
  <si>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</si>
  <si>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</si>
  <si>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</si>
  <si>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</si>
  <si>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</si>
  <si>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</si>
  <si>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</si>
  <si>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</si>
  <si>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</si>
  <si>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</si>
  <si>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</si>
  <si>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</si>
  <si>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</si>
  <si>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</si>
  <si>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</si>
  <si>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</si>
  <si>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</si>
  <si>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</si>
  <si>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</si>
  <si>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</si>
  <si>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</si>
  <si>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</si>
  <si>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</si>
  <si>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</si>
  <si>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</si>
  <si>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</si>
  <si>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</si>
  <si>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</si>
  <si>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</si>
  <si>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</si>
  <si>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</si>
  <si>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</si>
  <si>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</si>
  <si>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</si>
  <si>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</si>
  <si>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</si>
  <si>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</si>
  <si>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</si>
  <si>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</si>
  <si>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</si>
  <si>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</si>
  <si>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</si>
  <si>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</si>
  <si>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</si>
  <si>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</si>
  <si>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</si>
  <si>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</si>
  <si>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</si>
  <si>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</si>
  <si>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</si>
  <si>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</si>
  <si>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</si>
  <si>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</si>
  <si>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</si>
  <si>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</si>
  <si>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</si>
  <si>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</si>
  <si>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</si>
  <si>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</si>
  <si>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</si>
  <si>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</si>
  <si>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</si>
  <si>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</si>
  <si>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</si>
  <si>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</si>
  <si>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</si>
  <si>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</si>
  <si>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</si>
  <si>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</si>
  <si>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</si>
  <si>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</si>
  <si>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</si>
  <si>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</si>
  <si>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</si>
  <si>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</si>
  <si>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</si>
  <si>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</si>
  <si>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</si>
  <si>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</si>
  <si>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</si>
  <si>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</si>
  <si>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</si>
  <si>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</si>
  <si>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</si>
  <si>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</si>
  <si>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</si>
  <si>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</si>
  <si>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</si>
  <si>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</si>
  <si>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</si>
  <si>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</si>
  <si>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</si>
  <si>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</si>
  <si>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</si>
  <si>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</si>
  <si>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</si>
  <si>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</si>
  <si>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</si>
  <si>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</si>
  <si>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</si>
  <si>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</si>
  <si>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</si>
  <si>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</si>
  <si>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</si>
  <si>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</si>
  <si>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</si>
  <si>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</si>
  <si>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</si>
  <si>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</si>
  <si>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</si>
  <si>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</si>
  <si>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</si>
  <si>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</si>
  <si>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</si>
  <si>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</si>
  <si>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</si>
  <si>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</si>
  <si>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</si>
  <si>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</si>
  <si>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</si>
  <si>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</si>
  <si>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</si>
  <si>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</si>
  <si>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</si>
  <si>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</si>
  <si>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</si>
  <si>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</si>
  <si>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</si>
  <si>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</si>
  <si>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</si>
  <si>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</si>
  <si>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</si>
  <si>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</si>
  <si>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</si>
  <si>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</si>
  <si>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</si>
  <si>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</si>
  <si>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</si>
  <si>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</si>
  <si>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</si>
  <si>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</si>
  <si>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</si>
  <si>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</si>
  <si>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</si>
  <si>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</si>
  <si>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</si>
  <si>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</si>
  <si>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</si>
  <si>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</si>
  <si>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</si>
  <si>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</si>
  <si>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</si>
  <si>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</si>
  <si>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</si>
  <si>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</si>
  <si>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</si>
  <si>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</si>
  <si>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</si>
  <si>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</si>
  <si>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</si>
  <si>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</si>
  <si>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</si>
  <si>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</si>
  <si>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</si>
  <si>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</si>
  <si>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</si>
  <si>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</si>
  <si>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</si>
  <si>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</si>
  <si>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</si>
  <si>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</si>
  <si>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</si>
  <si>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</si>
  <si>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</si>
  <si>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</si>
  <si>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</si>
  <si>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</si>
  <si>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</si>
  <si>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</si>
  <si>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</si>
  <si>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</si>
  <si>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</si>
  <si>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</si>
  <si>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</si>
  <si>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</si>
  <si>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</si>
  <si>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</si>
  <si>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</si>
  <si>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</si>
  <si>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</si>
  <si>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</si>
  <si>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</si>
  <si>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</si>
  <si>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</si>
  <si>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</si>
  <si>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</si>
  <si>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</si>
  <si>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</si>
  <si>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</si>
  <si>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</si>
  <si>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</si>
  <si>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</si>
  <si>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</si>
  <si>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</si>
  <si>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</si>
  <si>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</si>
  <si>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</si>
  <si>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</si>
  <si>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</si>
  <si>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</si>
  <si>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</si>
  <si>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</si>
  <si>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</si>
  <si>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</si>
  <si>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</si>
  <si>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</si>
  <si>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</si>
  <si>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</si>
  <si>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</si>
  <si>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</si>
  <si>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</si>
  <si>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</si>
  <si>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</si>
  <si>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</si>
  <si>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</si>
  <si>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</si>
  <si>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</si>
  <si>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</si>
  <si>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</si>
  <si>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</si>
  <si>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</si>
  <si>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</si>
  <si>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</si>
  <si>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</si>
  <si>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</si>
  <si>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</si>
  <si>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</si>
  <si>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</si>
  <si>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</si>
  <si>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</si>
  <si>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</si>
  <si>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</si>
  <si>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</si>
  <si>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</si>
  <si>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</si>
  <si>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</si>
  <si>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</si>
  <si>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</si>
  <si>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</si>
  <si>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</si>
  <si>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</si>
  <si>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</si>
  <si>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</si>
  <si>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</si>
  <si>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</si>
  <si>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</si>
  <si>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</si>
  <si>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</si>
  <si>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</si>
  <si>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</si>
  <si>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</si>
  <si>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</si>
  <si>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</si>
  <si>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</si>
  <si>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</si>
  <si>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</si>
  <si>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</si>
  <si>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</si>
  <si>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</si>
  <si>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</si>
  <si>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</si>
  <si>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</si>
  <si>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</si>
  <si>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</si>
  <si>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</si>
  <si>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</si>
  <si>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</si>
  <si>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</si>
  <si>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</si>
  <si>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</si>
  <si>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</si>
  <si>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</si>
  <si>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</si>
  <si>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</si>
  <si>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</si>
  <si>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</si>
  <si>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</si>
  <si>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</si>
  <si>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</si>
  <si>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</si>
  <si>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</si>
  <si>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</si>
  <si>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</si>
  <si>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</si>
  <si>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</si>
  <si>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</si>
  <si>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</si>
  <si>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</si>
  <si>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</si>
  <si>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</si>
  <si>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</si>
  <si>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</si>
  <si>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</si>
  <si>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</si>
  <si>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</si>
  <si>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</si>
  <si>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</si>
  <si>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</si>
  <si>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</si>
  <si>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</si>
  <si>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</si>
  <si>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</si>
  <si>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</si>
  <si>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</si>
  <si>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</si>
  <si>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</si>
  <si>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</si>
  <si>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</si>
  <si>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</si>
  <si>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</si>
  <si>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</si>
  <si>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</si>
  <si>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</si>
  <si>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</si>
  <si>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</si>
  <si>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</si>
  <si>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</si>
  <si>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</si>
  <si>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</si>
  <si>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</si>
  <si>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</si>
  <si>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</si>
  <si>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</si>
  <si>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</si>
  <si>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</si>
  <si>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</si>
  <si>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</si>
  <si>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</si>
  <si>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</si>
  <si>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</si>
  <si>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</si>
  <si>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</si>
  <si>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</si>
  <si>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</si>
  <si>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</si>
  <si>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</si>
  <si>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</si>
  <si>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</si>
  <si>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</si>
  <si>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</si>
  <si>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</si>
  <si>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</si>
  <si>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</si>
  <si>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</si>
  <si>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</si>
  <si>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</si>
  <si>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</si>
  <si>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</si>
  <si>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</si>
  <si>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</si>
  <si>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</si>
  <si>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</si>
  <si>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</si>
  <si>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</si>
  <si>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</si>
  <si>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</si>
  <si>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</si>
  <si>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</si>
  <si>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</si>
  <si>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</si>
  <si>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</si>
  <si>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</si>
  <si>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</si>
  <si>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</si>
  <si>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</si>
  <si>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</si>
  <si>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</si>
  <si>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</si>
  <si>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</si>
  <si>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</si>
  <si>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</si>
  <si>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</si>
  <si>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</si>
  <si>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</si>
  <si>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</si>
  <si>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</si>
  <si>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</si>
  <si>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</si>
  <si>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</si>
  <si>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</si>
  <si>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</si>
  <si>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</si>
  <si>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</si>
  <si>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</si>
  <si>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</si>
  <si>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</si>
  <si>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</si>
  <si>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</si>
  <si>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</si>
  <si>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</si>
  <si>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</si>
  <si>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</si>
  <si>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</si>
  <si>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</si>
  <si>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</si>
  <si>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</si>
  <si>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</si>
  <si>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</si>
  <si>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</si>
  <si>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</si>
  <si>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</si>
  <si>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</si>
  <si>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</si>
  <si>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</si>
  <si>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</si>
  <si>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</si>
  <si>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</si>
  <si>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</si>
  <si>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</si>
  <si>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</si>
  <si>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</si>
  <si>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</si>
  <si>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</si>
  <si>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</si>
  <si>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</si>
  <si>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</si>
  <si>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</si>
  <si>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</si>
  <si>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</si>
  <si>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</si>
  <si>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</si>
  <si>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</si>
  <si>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</si>
  <si>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</si>
  <si>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</si>
  <si>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</si>
  <si>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</si>
  <si>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</si>
  <si>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</si>
  <si>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</si>
  <si>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</si>
  <si>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</si>
  <si>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</si>
  <si>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</si>
  <si>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</si>
  <si>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</si>
  <si>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</si>
  <si>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</si>
  <si>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</si>
  <si>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</si>
  <si>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</si>
  <si>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</si>
  <si>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</si>
  <si>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</si>
  <si>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</si>
  <si>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</si>
  <si>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</si>
  <si>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</si>
  <si>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</si>
  <si>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</si>
  <si>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</si>
  <si>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</si>
  <si>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</si>
  <si>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</si>
  <si>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</si>
  <si>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</si>
  <si>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</si>
  <si>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</si>
  <si>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</si>
  <si>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</si>
  <si>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</si>
  <si>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</si>
  <si>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</si>
  <si>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</si>
  <si>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</si>
  <si>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</si>
  <si>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</si>
  <si>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</si>
  <si>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</si>
  <si>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</si>
  <si>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</si>
  <si>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</si>
  <si>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</si>
  <si>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</si>
  <si>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</si>
  <si>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</si>
  <si>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</si>
  <si>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</si>
  <si>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</si>
  <si>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</si>
  <si>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</si>
  <si>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</si>
  <si>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</si>
  <si>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</si>
  <si>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</si>
  <si>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</si>
  <si>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</si>
  <si>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</si>
  <si>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</si>
  <si>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</si>
  <si>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</si>
  <si>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</si>
  <si>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</si>
  <si>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</si>
  <si>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</si>
  <si>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</si>
  <si>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</si>
  <si>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</si>
  <si>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</si>
  <si>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</si>
  <si>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</si>
  <si>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</si>
  <si>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</si>
  <si>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</si>
  <si>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</si>
  <si>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</si>
  <si>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</si>
  <si>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</si>
  <si>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</si>
  <si>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</si>
  <si>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</si>
  <si>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</si>
  <si>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</si>
  <si>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</si>
  <si>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</si>
  <si>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</si>
  <si>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</si>
  <si>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</si>
  <si>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</si>
  <si>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</si>
  <si>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</si>
  <si>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</si>
  <si>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</si>
  <si>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</si>
  <si>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</si>
  <si>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</si>
  <si>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</si>
  <si>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</si>
  <si>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</si>
  <si>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</si>
  <si>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</si>
  <si>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</si>
  <si>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</si>
  <si>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</si>
  <si>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</si>
  <si>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</si>
  <si>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</si>
  <si>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</si>
  <si>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</si>
  <si>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</si>
  <si>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</si>
  <si>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</si>
  <si>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</si>
  <si>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</si>
  <si>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</si>
  <si>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</si>
  <si>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</si>
  <si>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</si>
  <si>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</si>
  <si>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</si>
  <si>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</si>
  <si>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</si>
  <si>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</si>
  <si>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</si>
  <si>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</si>
  <si>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</si>
  <si>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</si>
  <si>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</si>
  <si>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</si>
  <si>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</si>
  <si>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</si>
  <si>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</si>
  <si>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</si>
  <si>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</si>
  <si>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</si>
  <si>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</si>
  <si>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</si>
  <si>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</si>
  <si>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</si>
  <si>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</si>
  <si>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</si>
  <si>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</si>
  <si>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</si>
  <si>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</si>
  <si>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</si>
  <si>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</si>
  <si>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</si>
  <si>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</si>
  <si>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</si>
  <si>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</si>
  <si>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</si>
  <si>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</si>
  <si>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</si>
  <si>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</si>
  <si>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</si>
  <si>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</si>
  <si>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</si>
  <si>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</si>
  <si>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</si>
  <si>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</si>
  <si>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</si>
  <si>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</si>
  <si>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</si>
  <si>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</si>
  <si>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</si>
  <si>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</si>
  <si>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</si>
  <si>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</si>
  <si>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</si>
  <si>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</si>
  <si>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</si>
  <si>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</si>
  <si>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</si>
  <si>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</si>
  <si>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</si>
  <si>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</si>
  <si>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</si>
  <si>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</si>
  <si>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</si>
  <si>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</si>
  <si>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</si>
  <si>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</si>
  <si>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</si>
  <si>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</si>
  <si>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</si>
  <si>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</si>
  <si>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</si>
  <si>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</si>
  <si>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</si>
  <si>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</si>
  <si>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</si>
  <si>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</si>
  <si>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</si>
  <si>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</si>
  <si>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</si>
  <si>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</si>
  <si>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</si>
  <si>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</si>
  <si>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</si>
  <si>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</si>
  <si>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</si>
  <si>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</si>
  <si>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</si>
  <si>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</si>
  <si>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</si>
  <si>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</si>
  <si>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</si>
  <si>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</si>
  <si>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</si>
  <si>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</si>
  <si>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</si>
  <si>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</si>
  <si>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</si>
  <si>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</si>
  <si>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</si>
  <si>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</si>
  <si>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</si>
  <si>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</si>
  <si>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</si>
  <si>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</si>
  <si>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</si>
  <si>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</si>
  <si>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</si>
  <si>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</si>
  <si>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</si>
  <si>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</si>
  <si>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</si>
  <si>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</si>
  <si>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</si>
  <si>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</si>
  <si>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</si>
  <si>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</si>
  <si>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</si>
  <si>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</si>
  <si>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</si>
  <si>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</si>
  <si>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</si>
  <si>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</si>
  <si>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</si>
  <si>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</si>
  <si>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</si>
  <si>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</si>
  <si>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</si>
  <si>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</si>
  <si>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</si>
  <si>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</si>
  <si>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</si>
  <si>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</si>
  <si>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</si>
  <si>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</si>
  <si>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</si>
  <si>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</si>
  <si>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</si>
  <si>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</si>
  <si>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</si>
  <si>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</si>
  <si>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</si>
  <si>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</si>
  <si>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</si>
  <si>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</si>
  <si>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</si>
  <si>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</si>
  <si>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</si>
  <si>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</si>
  <si>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</si>
  <si>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</si>
  <si>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</si>
  <si>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</si>
  <si>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</si>
  <si>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</si>
  <si>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</si>
  <si>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</si>
  <si>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</si>
  <si>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</si>
  <si>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</si>
  <si>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</si>
  <si>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</si>
  <si>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</si>
  <si>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</si>
  <si>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</si>
  <si>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</si>
  <si>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</si>
  <si>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</si>
  <si>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</si>
  <si>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</si>
  <si>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</si>
  <si>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</si>
  <si>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</si>
  <si>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</si>
  <si>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</si>
  <si>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</si>
  <si>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</si>
  <si>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</si>
  <si>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</si>
  <si>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</si>
  <si>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</si>
  <si>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</si>
  <si>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</si>
  <si>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</si>
  <si>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</si>
  <si>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</si>
  <si>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</si>
  <si>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</si>
  <si>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</si>
  <si>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</si>
  <si>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</si>
  <si>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</si>
  <si>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</si>
  <si>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</si>
  <si>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</si>
  <si>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</si>
  <si>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</si>
  <si>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</si>
  <si>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</si>
  <si>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</si>
  <si>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</si>
  <si>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</si>
  <si>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</si>
  <si>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</si>
  <si>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</si>
  <si>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</si>
  <si>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</si>
  <si>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</si>
  <si>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</si>
  <si>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</si>
  <si>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</si>
  <si>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</si>
  <si>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</si>
  <si>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</si>
  <si>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</si>
  <si>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</si>
  <si>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</si>
  <si>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</si>
  <si>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</si>
  <si>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</si>
  <si>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</si>
  <si>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</si>
  <si>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</si>
  <si>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</si>
  <si>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</si>
  <si>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</si>
  <si>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</si>
  <si>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</si>
  <si>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</si>
  <si>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</si>
  <si>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</si>
  <si>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</si>
  <si>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</si>
  <si>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</si>
  <si>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</si>
  <si>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</si>
  <si>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</si>
  <si>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</si>
  <si>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</si>
  <si>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</si>
  <si>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</si>
  <si>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</si>
  <si>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</si>
  <si>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</si>
  <si>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</si>
  <si>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</si>
  <si>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</si>
  <si>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</si>
  <si>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</si>
  <si>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</si>
  <si>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</si>
  <si>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</si>
  <si>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</si>
  <si>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</si>
  <si>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</si>
  <si>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</si>
  <si>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</si>
  <si>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</si>
  <si>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</si>
  <si>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</si>
  <si>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</si>
  <si>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</si>
  <si>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</si>
  <si>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</si>
  <si>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</si>
  <si>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</si>
  <si>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</si>
  <si>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</si>
  <si>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</si>
  <si>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</si>
  <si>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</si>
  <si>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</si>
  <si>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</si>
  <si>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</si>
  <si>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</si>
  <si>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</si>
  <si>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</si>
  <si>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</si>
  <si>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</si>
  <si>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</si>
  <si>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</si>
  <si>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</si>
  <si>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</si>
  <si>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</si>
  <si>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</si>
  <si>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</si>
  <si>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</si>
  <si>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</si>
  <si>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</si>
  <si>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</si>
  <si>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</si>
  <si>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</si>
  <si>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</si>
  <si>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</si>
  <si>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</si>
  <si>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</si>
  <si>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</si>
  <si>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</si>
  <si>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</si>
  <si>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</si>
  <si>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</si>
  <si>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</si>
  <si>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</si>
  <si>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</si>
  <si>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</si>
  <si>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</si>
  <si>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</si>
  <si>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</si>
  <si>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</si>
  <si>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</si>
  <si>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</si>
  <si>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</si>
  <si>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</si>
  <si>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</si>
  <si>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</si>
  <si>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</si>
  <si>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</si>
  <si>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</si>
  <si>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</si>
  <si>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</si>
  <si>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</si>
  <si>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</si>
  <si>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</si>
  <si>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</si>
  <si>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</si>
  <si>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</si>
  <si>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</si>
  <si>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</si>
  <si>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</si>
  <si>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</si>
  <si>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</si>
  <si>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</si>
  <si>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</si>
  <si>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</si>
  <si>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</si>
  <si>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</si>
  <si>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</si>
  <si>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</si>
  <si>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</si>
  <si>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</si>
  <si>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</si>
  <si>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</si>
  <si>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</si>
  <si>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</si>
  <si>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</si>
  <si>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</si>
  <si>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</si>
  <si>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</si>
  <si>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</si>
  <si>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</si>
  <si>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</si>
  <si>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</si>
  <si>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</si>
  <si>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</si>
  <si>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</si>
  <si>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</si>
  <si>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</si>
  <si>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</si>
  <si>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</si>
  <si>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</si>
  <si>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</si>
  <si>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</si>
  <si>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</si>
  <si>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</si>
  <si>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</si>
  <si>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</si>
  <si>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</si>
  <si>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</si>
  <si>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</si>
  <si>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</si>
  <si>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</si>
  <si>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</si>
  <si>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</si>
  <si>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</si>
  <si>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</si>
  <si>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</si>
  <si>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</si>
  <si>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</si>
  <si>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</si>
  <si>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</si>
  <si>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</si>
  <si>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</si>
  <si>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</si>
  <si>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</si>
  <si>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</si>
  <si>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</si>
  <si>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</si>
  <si>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</si>
  <si>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</si>
  <si>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</si>
  <si>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</si>
  <si>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</si>
  <si>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</si>
  <si>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</si>
  <si>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</si>
  <si>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</si>
  <si>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</si>
  <si>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</si>
  <si>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</si>
  <si>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</si>
  <si>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</si>
  <si>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</si>
  <si>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</si>
  <si>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</si>
  <si>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</si>
  <si>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</si>
  <si>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</si>
  <si>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</si>
  <si>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</si>
  <si>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</si>
  <si>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</si>
  <si>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</si>
  <si>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</si>
  <si>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</si>
  <si>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</si>
  <si>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</si>
  <si>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</si>
  <si>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</si>
  <si>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</si>
  <si>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</si>
  <si>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</si>
  <si>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</si>
  <si>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</si>
  <si>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</si>
  <si>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</si>
  <si>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</si>
  <si>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</si>
  <si>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</si>
  <si>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</si>
  <si>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</si>
  <si>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</si>
  <si>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</si>
  <si>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</si>
  <si>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</si>
  <si>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</si>
  <si>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</si>
  <si>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</si>
  <si>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</si>
  <si>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</si>
  <si>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</si>
  <si>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</si>
  <si>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</si>
  <si>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</si>
  <si>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</si>
  <si>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</si>
  <si>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</si>
  <si>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</si>
  <si>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</si>
  <si>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</si>
  <si>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</si>
  <si>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</si>
  <si>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</si>
  <si>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</si>
  <si>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</si>
  <si>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</si>
  <si>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</si>
  <si>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</si>
  <si>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</si>
  <si>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</si>
  <si>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</si>
  <si>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</si>
  <si>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</si>
  <si>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</si>
  <si>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</si>
  <si>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</si>
  <si>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</si>
  <si>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</si>
  <si>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</si>
  <si>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</si>
  <si>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</si>
  <si>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</si>
  <si>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</si>
  <si>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</si>
  <si>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</si>
  <si>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</si>
  <si>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</si>
  <si>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</si>
  <si>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</si>
  <si>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</si>
  <si>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</si>
  <si>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</si>
  <si>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</si>
  <si>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</si>
  <si>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</si>
  <si>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</si>
  <si>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</si>
  <si>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</si>
  <si>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</si>
  <si>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</si>
  <si>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</si>
  <si>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</si>
  <si>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</si>
  <si>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</si>
  <si>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</si>
  <si>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</si>
  <si>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</si>
  <si>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</si>
  <si>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</si>
  <si>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</si>
  <si>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</si>
  <si>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</si>
  <si>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</si>
  <si>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</si>
  <si>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</si>
  <si>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</si>
  <si>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</si>
  <si>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</si>
  <si>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</si>
  <si>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</si>
  <si>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</si>
  <si>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</si>
  <si>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</si>
  <si>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</si>
  <si>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</si>
  <si>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</si>
  <si>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</si>
  <si>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</si>
  <si>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</si>
  <si>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</si>
  <si>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</si>
  <si>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</si>
  <si>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</si>
  <si>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</si>
  <si>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</si>
  <si>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</si>
  <si>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</si>
  <si>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</si>
  <si>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</si>
  <si>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</si>
  <si>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</si>
  <si>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</si>
  <si>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</si>
  <si>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</si>
  <si>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</si>
  <si>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</si>
  <si>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</si>
  <si>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</si>
  <si>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</si>
  <si>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</si>
  <si>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</si>
  <si>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</si>
  <si>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</si>
  <si>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</si>
  <si>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</si>
  <si>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</si>
  <si>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</si>
  <si>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</si>
  <si>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</si>
  <si>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</si>
  <si>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</si>
  <si>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</si>
  <si>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</si>
  <si>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</si>
  <si>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</si>
  <si>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</si>
  <si>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</si>
  <si>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</si>
  <si>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</si>
  <si>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</si>
  <si>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</si>
  <si>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</si>
  <si>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</si>
  <si>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</si>
  <si>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</si>
  <si>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</si>
  <si>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</si>
  <si>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</si>
  <si>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</si>
  <si>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</si>
  <si>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</si>
  <si>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</si>
  <si>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</si>
  <si>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</si>
  <si>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</si>
  <si>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</si>
  <si>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</si>
  <si>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</si>
  <si>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</si>
  <si>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</si>
  <si>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</si>
  <si>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</si>
  <si>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</si>
  <si>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</si>
  <si>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</si>
  <si>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</si>
  <si>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</si>
  <si>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</si>
  <si>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</si>
  <si>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</si>
  <si>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</si>
  <si>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</si>
  <si>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</si>
  <si>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</si>
  <si>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</si>
  <si>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</si>
  <si>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</si>
  <si>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</si>
  <si>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</si>
  <si>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</si>
  <si>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</si>
  <si>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</si>
  <si>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</si>
  <si>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</si>
  <si>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</si>
  <si>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</si>
  <si>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</si>
  <si>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</si>
  <si>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</si>
  <si>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</si>
  <si>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</si>
  <si>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</si>
  <si>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</si>
  <si>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</si>
  <si>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</si>
  <si>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</si>
  <si>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</si>
  <si>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</si>
  <si>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</si>
  <si>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</si>
  <si>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</si>
  <si>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</si>
  <si>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</si>
  <si>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</si>
  <si>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</si>
  <si>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</si>
  <si>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</si>
  <si>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</si>
  <si>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</si>
  <si>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</si>
  <si>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</si>
  <si>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</si>
  <si>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</si>
  <si>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</si>
  <si>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</si>
  <si>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</si>
  <si>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</si>
  <si>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</si>
  <si>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</si>
  <si>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</si>
  <si>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</si>
  <si>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</si>
  <si>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</si>
  <si>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</si>
  <si>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</si>
  <si>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</si>
  <si>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</si>
  <si>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</si>
  <si>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</si>
  <si>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</si>
  <si>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</si>
  <si>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</si>
  <si>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</si>
  <si>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</si>
  <si>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</si>
  <si>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</si>
  <si>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</si>
  <si>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</si>
  <si>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</si>
  <si>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</si>
  <si>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</si>
  <si>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</si>
  <si>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</si>
  <si>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</si>
  <si>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</si>
  <si>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</si>
  <si>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</si>
  <si>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</si>
  <si>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</si>
  <si>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</si>
  <si>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</si>
  <si>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</si>
  <si>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</si>
  <si>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</si>
  <si>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</si>
  <si>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</si>
  <si>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</si>
  <si>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</si>
  <si>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</si>
  <si>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</si>
  <si>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</si>
  <si>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</si>
  <si>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</si>
  <si>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</si>
  <si>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</si>
  <si>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</si>
  <si>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</si>
  <si>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</si>
  <si>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</si>
  <si>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</si>
  <si>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</si>
  <si>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</si>
  <si>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</si>
  <si>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</si>
  <si>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</si>
  <si>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</si>
  <si>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</si>
  <si>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</si>
  <si>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</si>
  <si>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</si>
  <si>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</si>
  <si>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</si>
  <si>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</si>
  <si>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</si>
  <si>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</si>
  <si>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</si>
  <si>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</si>
  <si>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</si>
  <si>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</si>
  <si>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</si>
  <si>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</si>
  <si>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</si>
  <si>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</si>
  <si>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</si>
  <si>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</si>
  <si>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</si>
  <si>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</si>
  <si>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</si>
  <si>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</si>
  <si>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</si>
  <si>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</si>
  <si>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</si>
  <si>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</si>
  <si>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</si>
  <si>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</si>
  <si>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</si>
  <si>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</si>
  <si>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</si>
  <si>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</si>
  <si>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</si>
  <si>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</si>
  <si>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</si>
  <si>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</si>
  <si>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</si>
  <si>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</si>
  <si>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</si>
  <si>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</si>
  <si>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</si>
  <si>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</si>
  <si>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</si>
  <si>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</si>
  <si>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</si>
  <si>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</si>
  <si>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</si>
  <si>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</si>
  <si>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</si>
  <si>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</si>
  <si>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</si>
  <si>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</si>
  <si>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</si>
  <si>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</si>
  <si>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</si>
  <si>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</si>
  <si>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</si>
  <si>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</si>
  <si>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</si>
  <si>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</si>
  <si>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</si>
  <si>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</si>
  <si>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</si>
  <si>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</si>
  <si>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</si>
  <si>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</si>
  <si>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</si>
  <si>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</si>
  <si>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</si>
  <si>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</si>
  <si>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</si>
  <si>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</si>
  <si>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</si>
  <si>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</si>
  <si>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</si>
  <si>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</si>
  <si>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</si>
  <si>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</si>
  <si>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</si>
  <si>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</si>
  <si>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</si>
  <si>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</si>
  <si>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</si>
  <si>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</si>
  <si>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</si>
  <si>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</si>
  <si>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</si>
  <si>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</si>
  <si>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</si>
  <si>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</si>
  <si>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</si>
  <si>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</si>
  <si>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</si>
  <si>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</si>
  <si>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</si>
  <si>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</si>
  <si>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</si>
  <si>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</si>
  <si>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</si>
  <si>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</si>
  <si>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</si>
  <si>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</si>
  <si>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</si>
  <si>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</si>
  <si>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</si>
  <si>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</si>
  <si>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</si>
  <si>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</si>
  <si>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</si>
  <si>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</si>
  <si>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</si>
  <si>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</si>
  <si>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</si>
  <si>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</si>
  <si>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</si>
  <si>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</si>
  <si>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</si>
  <si>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</si>
  <si>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</si>
  <si>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</si>
  <si>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</si>
  <si>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</si>
  <si>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</si>
  <si>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</si>
  <si>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</si>
  <si>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</si>
  <si>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</si>
  <si>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</si>
  <si>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</si>
  <si>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</si>
  <si>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</si>
  <si>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</si>
  <si>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</si>
  <si>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</si>
  <si>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</si>
  <si>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</si>
  <si>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</si>
  <si>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</si>
  <si>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</si>
  <si>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</si>
  <si>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</si>
  <si>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</si>
  <si>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</si>
  <si>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</si>
  <si>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</si>
  <si>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</si>
  <si>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</si>
  <si>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</si>
  <si>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</si>
  <si>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</si>
  <si>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</si>
  <si>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</si>
  <si>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</si>
  <si>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</si>
  <si>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</si>
  <si>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</si>
  <si>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</si>
  <si>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</si>
  <si>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</si>
  <si>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</si>
  <si>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</si>
  <si>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</si>
  <si>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</si>
  <si>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</si>
  <si>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</si>
  <si>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</si>
  <si>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</si>
  <si>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</si>
  <si>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</si>
  <si>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</si>
  <si>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</si>
  <si>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</si>
  <si>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</si>
  <si>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</si>
  <si>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</si>
  <si>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</si>
  <si>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</si>
  <si>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</si>
  <si>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</si>
  <si>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</si>
  <si>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</si>
  <si>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</si>
  <si>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</si>
  <si>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</si>
  <si>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</si>
  <si>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</si>
  <si>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</si>
  <si>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</si>
  <si>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</si>
  <si>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</si>
  <si>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</si>
  <si>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</si>
  <si>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</si>
  <si>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</si>
  <si>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</si>
  <si>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</si>
  <si>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</si>
  <si>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</si>
  <si>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</si>
  <si>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</si>
  <si>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</si>
  <si>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</si>
  <si>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</si>
  <si>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</si>
  <si>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</si>
  <si>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</si>
  <si>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</si>
  <si>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</si>
  <si>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</si>
  <si>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</si>
  <si>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</si>
  <si>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</si>
  <si>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</si>
  <si>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</si>
  <si>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</si>
  <si>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</si>
  <si>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</si>
  <si>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</si>
  <si>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</si>
  <si>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</si>
  <si>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</si>
  <si>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</si>
  <si>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</si>
  <si>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</si>
  <si>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</si>
  <si>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</si>
  <si>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</si>
  <si>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</si>
  <si>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</si>
  <si>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</si>
  <si>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</si>
  <si>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</si>
  <si>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</si>
  <si>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</si>
  <si>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</si>
  <si>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</si>
  <si>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</si>
  <si>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</si>
  <si>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</si>
  <si>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</si>
  <si>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</si>
  <si>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</si>
  <si>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</si>
  <si>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</si>
  <si>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</si>
  <si>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</si>
  <si>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</si>
  <si>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</si>
  <si>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</si>
  <si>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</si>
  <si>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</si>
  <si>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</si>
  <si>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</si>
  <si>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</si>
  <si>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</si>
  <si>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</si>
  <si>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</si>
  <si>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</si>
  <si>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</si>
  <si>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</si>
  <si>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</si>
  <si>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</si>
  <si>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</si>
  <si>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</si>
  <si>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</si>
  <si>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</si>
  <si>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</si>
  <si>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</si>
  <si>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</si>
  <si>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</si>
  <si>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</si>
  <si>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</si>
  <si>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</si>
  <si>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</si>
  <si>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</si>
  <si>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</si>
  <si>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</si>
  <si>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</si>
  <si>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</si>
  <si>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</si>
  <si>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</si>
  <si>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</si>
  <si>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</si>
  <si>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</si>
  <si>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</si>
  <si>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</si>
  <si>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</si>
  <si>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</si>
  <si>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</si>
  <si>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</si>
  <si>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</si>
  <si>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</si>
  <si>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</si>
  <si>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</si>
  <si>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</si>
  <si>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</si>
  <si>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</si>
  <si>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</si>
  <si>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</si>
  <si>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</si>
  <si>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</si>
  <si>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</si>
  <si>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</si>
  <si>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</si>
  <si>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</si>
  <si>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</si>
  <si>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</si>
  <si>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</si>
  <si>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</si>
  <si>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</si>
  <si>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</si>
  <si>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</si>
  <si>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</si>
  <si>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</si>
  <si>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</si>
  <si>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</si>
  <si>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</si>
  <si>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</si>
  <si>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</si>
  <si>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</si>
  <si>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</si>
  <si>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</si>
  <si>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</si>
  <si>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</si>
  <si>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</si>
  <si>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</si>
  <si>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</si>
  <si>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</si>
  <si>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</si>
  <si>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</si>
  <si>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</si>
  <si>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</si>
  <si>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</si>
  <si>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</si>
  <si>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</si>
  <si>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</si>
  <si>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</si>
  <si>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</si>
  <si>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</si>
  <si>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</si>
  <si>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</si>
  <si>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</si>
  <si>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</si>
  <si>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</si>
  <si>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</si>
  <si>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</si>
  <si>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</si>
  <si>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</si>
  <si>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</si>
  <si>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</si>
  <si>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</si>
  <si>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</si>
  <si>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</si>
  <si>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</si>
  <si>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</si>
  <si>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</si>
  <si>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</si>
  <si>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</si>
  <si>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</si>
  <si>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</si>
  <si>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</si>
  <si>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</si>
  <si>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</si>
  <si>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</si>
  <si>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</si>
  <si>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</si>
  <si>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</si>
  <si>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</si>
  <si>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</si>
  <si>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</si>
  <si>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</si>
  <si>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</si>
  <si>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</si>
  <si>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</si>
  <si>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</si>
  <si>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</si>
  <si>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</si>
  <si>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</si>
  <si>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</si>
  <si>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</si>
  <si>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</si>
  <si>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</si>
  <si>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</si>
  <si>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</si>
  <si>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</si>
  <si>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</si>
  <si>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</si>
  <si>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</si>
  <si>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</si>
  <si>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</si>
  <si>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</si>
  <si>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</si>
  <si>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</si>
  <si>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</si>
  <si>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</si>
  <si>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</si>
  <si>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</si>
  <si>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</si>
  <si>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</si>
  <si>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</si>
  <si>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</si>
  <si>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</si>
  <si>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</si>
  <si>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</si>
  <si>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</si>
  <si>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</si>
  <si>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</si>
  <si>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</si>
  <si>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</si>
  <si>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</si>
  <si>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</si>
  <si>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</si>
  <si>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</si>
  <si>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</si>
  <si>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</si>
  <si>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</si>
  <si>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</si>
  <si>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</si>
  <si>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</si>
  <si>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</si>
  <si>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</si>
  <si>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</si>
  <si>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</si>
  <si>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</si>
  <si>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</si>
  <si>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</si>
  <si>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</si>
  <si>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</si>
  <si>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</si>
  <si>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</si>
  <si>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</si>
  <si>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</si>
  <si>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</si>
  <si>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</si>
  <si>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</si>
  <si>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</si>
  <si>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</si>
  <si>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</si>
  <si>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</si>
  <si>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</si>
  <si>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</si>
  <si>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</si>
  <si>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</si>
  <si>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</si>
  <si>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</si>
  <si>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</si>
  <si>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</si>
  <si>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</si>
  <si>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</si>
  <si>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</si>
  <si>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</si>
  <si>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</si>
  <si>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</si>
  <si>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</si>
  <si>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</si>
  <si>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</si>
  <si>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</si>
  <si>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</si>
  <si>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</si>
  <si>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</si>
  <si>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</si>
  <si>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</si>
  <si>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</si>
  <si>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</si>
  <si>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</si>
  <si>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</si>
  <si>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</si>
  <si>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</si>
  <si>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</si>
  <si>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</si>
  <si>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</si>
  <si>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</si>
  <si>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</si>
  <si>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</si>
  <si>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</si>
  <si>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</si>
  <si>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</si>
  <si>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</si>
  <si>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</si>
  <si>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</si>
  <si>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</si>
  <si>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</si>
  <si>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</si>
  <si>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</si>
  <si>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</si>
  <si>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</si>
  <si>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</si>
  <si>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</si>
  <si>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</si>
  <si>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</si>
  <si>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</si>
  <si>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</si>
  <si>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</si>
  <si>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</si>
  <si>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</si>
  <si>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</si>
  <si>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</si>
  <si>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</si>
  <si>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</si>
  <si>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</si>
  <si>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</si>
  <si>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</si>
  <si>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</si>
  <si>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</si>
  <si>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</si>
  <si>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</si>
  <si>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</si>
  <si>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</si>
  <si>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</si>
  <si>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</si>
  <si>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</si>
  <si>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</si>
  <si>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</si>
  <si>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</si>
  <si>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</si>
  <si>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</si>
  <si>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</si>
  <si>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</si>
  <si>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</si>
  <si>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</si>
  <si>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</si>
  <si>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</si>
  <si>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</si>
  <si>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</si>
  <si>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</si>
  <si>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</si>
  <si>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</si>
  <si>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</si>
  <si>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</si>
  <si>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</si>
  <si>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</si>
  <si>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</si>
  <si>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</si>
  <si>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</si>
  <si>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</si>
  <si>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</si>
  <si>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</si>
  <si>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</si>
  <si>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</si>
  <si>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</si>
  <si>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</si>
  <si>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</si>
  <si>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</si>
  <si>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</si>
  <si>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</si>
  <si>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</si>
  <si>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</si>
  <si>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</si>
  <si>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</si>
  <si>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</si>
  <si>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</si>
  <si>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</si>
  <si>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</si>
  <si>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</si>
  <si>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</si>
  <si>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</si>
  <si>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</si>
  <si>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</si>
  <si>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</si>
  <si>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</si>
  <si>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</si>
  <si>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</si>
  <si>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</si>
  <si>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</si>
  <si>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</si>
  <si>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</si>
  <si>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</si>
  <si>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</si>
  <si>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</si>
  <si>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</si>
  <si>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</si>
  <si>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</si>
  <si>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</si>
  <si>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</si>
  <si>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</si>
  <si>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</si>
  <si>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</si>
  <si>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</si>
  <si>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</si>
  <si>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</si>
  <si>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</si>
  <si>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</si>
  <si>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</si>
  <si>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</si>
  <si>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</si>
  <si>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</si>
  <si>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</si>
  <si>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</si>
  <si>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</si>
  <si>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</si>
  <si>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</si>
  <si>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</si>
  <si>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</si>
  <si>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</si>
  <si>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</si>
  <si>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</si>
  <si>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</si>
  <si>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</si>
  <si>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</si>
  <si>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</si>
  <si>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</si>
  <si>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</si>
  <si>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</si>
  <si>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</si>
  <si>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</si>
  <si>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</si>
  <si>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</si>
  <si>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</si>
  <si>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</si>
  <si>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</si>
  <si>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</si>
  <si>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</si>
  <si>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</si>
  <si>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</si>
  <si>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</si>
  <si>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</si>
  <si>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</si>
  <si>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</si>
  <si>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</si>
  <si>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</si>
  <si>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</si>
  <si>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</si>
  <si>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</si>
  <si>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</si>
  <si>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</si>
  <si>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</si>
  <si>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</si>
  <si>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</si>
  <si>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</si>
  <si>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</si>
  <si>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</si>
  <si>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</si>
  <si>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</si>
  <si>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</si>
  <si>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</si>
  <si>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</si>
  <si>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</si>
  <si>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</si>
  <si>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</si>
  <si>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</si>
  <si>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</si>
  <si>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</si>
  <si>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</si>
  <si>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</si>
  <si>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</si>
  <si>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</si>
  <si>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</si>
  <si>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</si>
  <si>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</si>
  <si>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</si>
  <si>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</si>
  <si>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</si>
  <si>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</si>
  <si>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</si>
  <si>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</si>
  <si>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</si>
  <si>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</si>
  <si>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</si>
  <si>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</si>
  <si>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</si>
  <si>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</si>
  <si>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</si>
  <si>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</si>
  <si>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</si>
  <si>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</si>
  <si>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</si>
  <si>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</si>
  <si>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</si>
  <si>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</si>
  <si>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</si>
  <si>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</si>
  <si>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</si>
  <si>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</si>
  <si>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</si>
  <si>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</si>
  <si>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</si>
  <si>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</si>
  <si>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</si>
  <si>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</si>
  <si>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</si>
  <si>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</si>
  <si>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</si>
  <si>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</si>
  <si>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</si>
  <si>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</si>
  <si>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</si>
  <si>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</si>
  <si>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</si>
  <si>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</si>
  <si>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</si>
  <si>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</si>
  <si>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</si>
  <si>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</si>
  <si>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</si>
  <si>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</si>
  <si>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</si>
  <si>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</si>
  <si>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</si>
  <si>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</si>
  <si>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</si>
  <si>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</si>
  <si>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</si>
  <si>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</si>
  <si>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</si>
  <si>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</si>
  <si>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</si>
  <si>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</si>
  <si>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</si>
  <si>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</si>
  <si>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</si>
  <si>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</si>
  <si>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</si>
  <si>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</si>
  <si>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</si>
  <si>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</si>
  <si>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</si>
  <si>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</si>
  <si>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</si>
  <si>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</si>
  <si>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</si>
  <si>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</si>
  <si>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</si>
  <si>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</si>
  <si>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</si>
  <si>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</si>
  <si>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</si>
  <si>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</si>
  <si>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</si>
  <si>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</si>
  <si>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</si>
  <si>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</si>
  <si>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</si>
  <si>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</si>
  <si>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</si>
  <si>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</si>
  <si>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</si>
  <si>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</si>
  <si>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</si>
  <si>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</si>
  <si>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</si>
  <si>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</si>
  <si>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</si>
  <si>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</si>
  <si>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</si>
  <si>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</si>
  <si>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</si>
  <si>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</si>
  <si>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</si>
  <si>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</si>
  <si>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</si>
  <si>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</si>
  <si>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</si>
  <si>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</si>
  <si>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</si>
  <si>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</si>
  <si>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</si>
  <si>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</si>
  <si>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</si>
  <si>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</si>
  <si>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</si>
  <si>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</si>
  <si>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</si>
  <si>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</si>
  <si>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</si>
  <si>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</si>
  <si>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</si>
  <si>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</si>
  <si>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</si>
  <si>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</si>
  <si>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</si>
  <si>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</si>
  <si>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</si>
  <si>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</si>
  <si>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</si>
  <si>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</si>
  <si>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</si>
  <si>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</si>
  <si>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</si>
  <si>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</si>
  <si>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</si>
  <si>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</si>
  <si>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</si>
  <si>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</si>
  <si>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</si>
  <si>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</si>
  <si>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</si>
  <si>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</si>
  <si>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</si>
  <si>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</si>
  <si>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</si>
  <si>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</si>
  <si>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</si>
  <si>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</si>
  <si>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</si>
  <si>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</si>
  <si>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</si>
  <si>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</si>
  <si>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</si>
  <si>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</si>
  <si>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</si>
  <si>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</si>
  <si>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</si>
  <si>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</si>
  <si>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</si>
  <si>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</si>
  <si>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</si>
  <si>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</si>
  <si>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</si>
  <si>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</si>
  <si>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</si>
  <si>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</si>
  <si>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</si>
  <si>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</si>
  <si>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</si>
  <si>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</si>
  <si>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</si>
  <si>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</si>
  <si>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</si>
  <si>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</si>
  <si>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</si>
  <si>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</si>
  <si>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</si>
  <si>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</si>
  <si>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</si>
  <si>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</si>
  <si>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</si>
  <si>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</si>
  <si>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</si>
  <si>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</si>
  <si>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</si>
  <si>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</si>
  <si>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</si>
  <si>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</si>
  <si>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</si>
  <si>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</si>
  <si>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</si>
  <si>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</si>
  <si>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</si>
  <si>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</si>
  <si>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</si>
  <si>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</si>
  <si>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</si>
  <si>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</si>
  <si>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</si>
  <si>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</si>
  <si>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</si>
  <si>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</si>
  <si>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</si>
  <si>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</si>
  <si>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</si>
  <si>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</si>
  <si>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</si>
  <si>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</si>
  <si>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</si>
  <si>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</si>
  <si>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</si>
  <si>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</si>
  <si>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</si>
  <si>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</si>
  <si>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</si>
  <si>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</si>
  <si>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</si>
  <si>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</si>
  <si>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</si>
  <si>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</si>
  <si>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</si>
  <si>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</si>
  <si>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</si>
  <si>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</si>
  <si>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</si>
  <si>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</si>
  <si>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</si>
  <si>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</si>
  <si>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</si>
  <si>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</si>
  <si>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</si>
  <si>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</si>
  <si>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</si>
  <si>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</si>
  <si>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</si>
  <si>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</si>
  <si>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</si>
  <si>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</si>
  <si>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</si>
  <si>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</si>
  <si>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</si>
  <si>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</si>
  <si>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</si>
  <si>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</si>
  <si>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</si>
  <si>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</si>
  <si>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</si>
  <si>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</si>
  <si>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</si>
  <si>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</si>
  <si>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</si>
  <si>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</si>
  <si>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</si>
  <si>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</si>
  <si>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</si>
  <si>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</si>
  <si>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</si>
  <si>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</si>
  <si>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</si>
  <si>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</si>
  <si>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</si>
  <si>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</si>
  <si>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</si>
  <si>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</si>
  <si>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</si>
  <si>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</si>
  <si>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</si>
  <si>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</si>
  <si>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</si>
  <si>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</si>
  <si>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</si>
  <si>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</si>
  <si>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</si>
  <si>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</si>
  <si>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</si>
  <si>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</si>
  <si>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</si>
  <si>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</si>
  <si>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</si>
  <si>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</si>
  <si>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</si>
  <si>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</si>
  <si>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</si>
  <si>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</si>
  <si>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</si>
  <si>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</si>
  <si>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</si>
  <si>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</si>
  <si>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</si>
  <si>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</si>
  <si>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</si>
  <si>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</si>
  <si>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</si>
  <si>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</si>
  <si>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</si>
  <si>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</si>
  <si>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</si>
  <si>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</si>
  <si>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</si>
  <si>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</si>
  <si>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</si>
  <si>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</si>
  <si>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</si>
  <si>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</si>
  <si>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</si>
  <si>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</si>
  <si>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</si>
  <si>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</si>
  <si>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</si>
  <si>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</si>
  <si>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</si>
  <si>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</si>
  <si>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</si>
  <si>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</si>
  <si>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</si>
  <si>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</si>
  <si>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</si>
  <si>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</si>
  <si>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</si>
  <si>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</si>
  <si>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</si>
  <si>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</si>
  <si>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</si>
  <si>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</si>
  <si>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</si>
  <si>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</si>
  <si>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</si>
  <si>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</si>
  <si>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</si>
  <si>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</si>
  <si>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</si>
  <si>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</si>
  <si>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</si>
  <si>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</si>
  <si>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</si>
  <si>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</si>
  <si>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</si>
  <si>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</si>
  <si>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</si>
  <si>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</si>
  <si>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</si>
  <si>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</si>
  <si>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</si>
  <si>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</si>
  <si>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</si>
  <si>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</si>
  <si>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</si>
  <si>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</si>
  <si>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</si>
  <si>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</si>
  <si>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</si>
  <si>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</si>
  <si>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</si>
  <si>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</si>
  <si>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</si>
  <si>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</si>
  <si>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</si>
  <si>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</si>
  <si>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</si>
  <si>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</si>
  <si>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</si>
  <si>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</si>
  <si>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</si>
  <si>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</si>
  <si>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</si>
  <si>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</si>
  <si>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</si>
  <si>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</si>
  <si>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</si>
  <si>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</si>
  <si>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</si>
  <si>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</si>
  <si>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</si>
  <si>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</si>
  <si>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</si>
  <si>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</si>
  <si>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</si>
  <si>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</si>
  <si>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</si>
  <si>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</si>
  <si>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</si>
  <si>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</si>
  <si>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</si>
  <si>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</si>
  <si>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</si>
  <si>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</si>
  <si>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</si>
  <si>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</si>
  <si>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</si>
  <si>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</si>
  <si>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</si>
  <si>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</si>
  <si>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</si>
  <si>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</si>
  <si>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</si>
  <si>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</si>
  <si>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</si>
  <si>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</si>
  <si>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</si>
  <si>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</si>
  <si>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</si>
  <si>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</si>
  <si>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</si>
  <si>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</si>
  <si>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</si>
  <si>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</si>
  <si>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</si>
  <si>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</si>
  <si>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</si>
  <si>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</si>
  <si>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</si>
  <si>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</si>
  <si>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</si>
  <si>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</si>
  <si>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</si>
  <si>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</si>
  <si>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</si>
  <si>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</si>
  <si>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</si>
  <si>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</si>
  <si>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</si>
  <si>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</si>
  <si>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</si>
  <si>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</si>
  <si>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</si>
  <si>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</si>
  <si>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</si>
  <si>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</si>
  <si>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</si>
  <si>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</si>
  <si>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</si>
  <si>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</si>
  <si>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</si>
  <si>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</si>
  <si>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</si>
  <si>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</si>
  <si>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</si>
  <si>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</si>
  <si>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</si>
  <si>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</si>
  <si>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</si>
  <si>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</si>
  <si>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</si>
  <si>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</si>
  <si>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</si>
  <si>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</si>
  <si>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</si>
  <si>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</si>
  <si>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</si>
  <si>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</si>
  <si>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</si>
  <si>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</si>
  <si>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</si>
  <si>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</si>
  <si>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</si>
  <si>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</si>
  <si>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</si>
  <si>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</si>
  <si>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</si>
  <si>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</si>
  <si>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</si>
  <si>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</si>
  <si>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</si>
  <si>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</si>
  <si>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</si>
  <si>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</si>
  <si>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</si>
  <si>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</si>
  <si>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</si>
  <si>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</si>
  <si>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</si>
  <si>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</si>
  <si>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</si>
  <si>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</si>
  <si>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</si>
  <si>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</si>
  <si>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</si>
  <si>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</si>
  <si>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</si>
  <si>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</si>
  <si>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</si>
  <si>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</si>
  <si>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</si>
  <si>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</si>
  <si>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</si>
  <si>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</si>
  <si>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</si>
  <si>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</si>
  <si>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</si>
  <si>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</si>
  <si>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</si>
  <si>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</si>
  <si>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</si>
  <si>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</si>
  <si>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</si>
  <si>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</si>
  <si>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</si>
  <si>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</si>
  <si>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</si>
  <si>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</si>
  <si>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</si>
  <si>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</si>
  <si>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</si>
  <si>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</si>
  <si>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</si>
  <si>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</si>
  <si>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</si>
  <si>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</si>
  <si>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</si>
  <si>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</si>
  <si>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</si>
  <si>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</si>
  <si>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</si>
  <si>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</si>
  <si>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</si>
  <si>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</si>
  <si>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</si>
  <si>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</si>
  <si>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</si>
  <si>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</si>
  <si>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</si>
  <si>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</si>
  <si>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</si>
  <si>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</si>
  <si>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</si>
  <si>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</si>
  <si>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</si>
  <si>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</si>
  <si>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</si>
  <si>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</si>
  <si>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</si>
  <si>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</si>
  <si>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</si>
  <si>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</si>
  <si>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</si>
  <si>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</si>
  <si>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</si>
  <si>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</si>
  <si>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</si>
  <si>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</si>
  <si>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</si>
  <si>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</si>
  <si>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</si>
  <si>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</si>
  <si>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</si>
  <si>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</si>
  <si>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</si>
  <si>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</si>
  <si>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</si>
  <si>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</si>
  <si>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</si>
  <si>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</si>
  <si>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</si>
  <si>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</si>
  <si>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</si>
  <si>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</si>
  <si>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</si>
  <si>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</si>
  <si>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</si>
  <si>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</si>
  <si>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</si>
  <si>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</si>
  <si>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</si>
  <si>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</si>
  <si>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</si>
  <si>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</si>
  <si>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</si>
  <si>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</si>
  <si>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</si>
  <si>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</si>
  <si>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</si>
  <si>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</si>
  <si>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</si>
  <si>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</si>
  <si>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</si>
  <si>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</si>
  <si>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</si>
  <si>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</si>
  <si>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</si>
  <si>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</si>
  <si>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</si>
  <si>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</si>
  <si>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</si>
  <si>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</si>
  <si>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</si>
  <si>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</si>
  <si>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</si>
  <si>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</si>
  <si>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</si>
  <si>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</si>
  <si>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</si>
  <si>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</si>
  <si>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</si>
  <si>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</si>
  <si>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</si>
  <si>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</si>
  <si>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</si>
  <si>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</si>
  <si>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</si>
  <si>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</si>
  <si>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</si>
  <si>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</si>
  <si>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</si>
  <si>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</si>
  <si>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</si>
  <si>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</si>
  <si>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</si>
  <si>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</si>
  <si>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</si>
  <si>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</si>
  <si>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</si>
  <si>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</si>
  <si>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</si>
  <si>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</si>
  <si>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</si>
  <si>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</si>
  <si>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</si>
  <si>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</si>
  <si>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</si>
  <si>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</si>
  <si>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</si>
  <si>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</si>
  <si>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</si>
  <si>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</si>
  <si>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</si>
  <si>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</si>
  <si>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</si>
  <si>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</si>
  <si>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</si>
  <si>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</si>
  <si>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</si>
  <si>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</si>
  <si>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</si>
  <si>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</si>
  <si>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</si>
  <si>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</si>
  <si>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</si>
  <si>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</si>
  <si>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</si>
  <si>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</si>
  <si>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</si>
  <si>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</si>
  <si>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</si>
  <si>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</si>
  <si>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</si>
  <si>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</si>
  <si>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</si>
  <si>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</si>
  <si>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</si>
  <si>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</si>
  <si>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</si>
  <si>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</si>
  <si>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</si>
  <si>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</si>
  <si>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</si>
  <si>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</si>
  <si>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</si>
  <si>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</si>
  <si>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</si>
  <si>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</si>
  <si>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</si>
  <si>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</si>
  <si>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</si>
  <si>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</si>
  <si>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</si>
  <si>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</si>
  <si>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</si>
  <si>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</si>
  <si>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</si>
  <si>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</si>
  <si>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</si>
  <si>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</si>
  <si>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</si>
  <si>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</si>
  <si>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</si>
  <si>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</si>
  <si>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</si>
  <si>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</si>
  <si>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</si>
  <si>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</si>
  <si>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</si>
  <si>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</si>
  <si>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</si>
  <si>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</si>
  <si>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</si>
  <si>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</si>
  <si>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</si>
  <si>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</si>
  <si>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</si>
  <si>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</si>
  <si>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</si>
  <si>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</si>
  <si>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</si>
  <si>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</si>
  <si>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</si>
  <si>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</si>
  <si>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</si>
  <si>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</si>
  <si>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</si>
  <si>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</si>
  <si>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</si>
  <si>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</si>
  <si>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</si>
  <si>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</si>
  <si>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</si>
  <si>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</si>
  <si>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</si>
  <si>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</si>
  <si>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</si>
  <si>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</si>
  <si>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</si>
  <si>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</si>
  <si>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</si>
  <si>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</si>
  <si>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</si>
  <si>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</si>
  <si>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</si>
  <si>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</si>
  <si>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</si>
  <si>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</si>
  <si>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</si>
  <si>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</si>
  <si>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</si>
  <si>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</si>
  <si>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</si>
  <si>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</si>
  <si>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</si>
  <si>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</si>
  <si>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</si>
  <si>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</si>
  <si>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</si>
  <si>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</si>
  <si>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</si>
  <si>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</si>
  <si>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</si>
  <si>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</si>
  <si>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</si>
  <si>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</si>
  <si>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</si>
  <si>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</si>
  <si>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</si>
  <si>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</si>
  <si>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</si>
  <si>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</si>
  <si>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</si>
  <si>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</si>
  <si>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</si>
  <si>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</si>
  <si>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</si>
  <si>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</si>
  <si>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</si>
  <si>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</si>
  <si>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</si>
  <si>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</si>
  <si>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</si>
  <si>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</si>
  <si>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</si>
  <si>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</si>
  <si>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</si>
  <si>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</si>
  <si>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</si>
  <si>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</si>
  <si>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</si>
  <si>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</si>
  <si>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</si>
  <si>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</si>
  <si>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</si>
  <si>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</si>
  <si>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</si>
  <si>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</si>
  <si>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</si>
  <si>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</si>
  <si>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</si>
  <si>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</si>
  <si>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</si>
  <si>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</si>
  <si>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</si>
  <si>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</si>
  <si>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</si>
  <si>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</si>
  <si>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</si>
  <si>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</si>
  <si>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</si>
  <si>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</si>
  <si>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</si>
  <si>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</si>
  <si>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</si>
  <si>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</si>
  <si>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</si>
  <si>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</si>
  <si>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</si>
  <si>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</si>
  <si>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</si>
  <si>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</si>
  <si>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</si>
  <si>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</si>
  <si>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</si>
  <si>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</si>
  <si>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</si>
  <si>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</si>
  <si>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</si>
  <si>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</si>
  <si>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</si>
  <si>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</si>
  <si>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</si>
  <si>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</si>
  <si>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</si>
  <si>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</si>
  <si>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</si>
  <si>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</si>
  <si>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</si>
  <si>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</si>
  <si>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</si>
  <si>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</si>
  <si>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</si>
  <si>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</si>
  <si>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</si>
  <si>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</si>
  <si>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</si>
  <si>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</si>
  <si>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</si>
  <si>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</si>
  <si>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</si>
  <si>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</si>
  <si>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</si>
  <si>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</si>
  <si>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</si>
  <si>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</si>
  <si>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</si>
  <si>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</si>
  <si>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</si>
  <si>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</si>
  <si>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</si>
  <si>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</si>
  <si>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</si>
  <si>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</si>
  <si>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</si>
  <si>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</si>
  <si>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</si>
  <si>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</si>
  <si>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</si>
  <si>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</si>
  <si>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</si>
  <si>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</si>
  <si>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</si>
  <si>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</si>
  <si>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</si>
  <si>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</si>
  <si>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</si>
  <si>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</si>
  <si>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</si>
  <si>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</si>
  <si>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</si>
  <si>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</si>
  <si>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</si>
  <si>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</si>
  <si>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</si>
  <si>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</si>
  <si>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</si>
  <si>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</si>
  <si>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</si>
  <si>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</si>
  <si>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</si>
  <si>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</si>
  <si>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</si>
  <si>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</si>
  <si>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</si>
  <si>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</si>
  <si>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</si>
  <si>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</si>
  <si>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</si>
  <si>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</si>
  <si>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</si>
  <si>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</si>
  <si>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</si>
  <si>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</si>
  <si>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</si>
  <si>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</si>
  <si>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</si>
  <si>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</si>
  <si>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</si>
  <si>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</si>
  <si>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</si>
  <si>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</si>
  <si>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</si>
  <si>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</si>
  <si>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</si>
  <si>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</si>
  <si>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</si>
  <si>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</si>
  <si>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</si>
  <si>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</si>
  <si>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</si>
  <si>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</si>
  <si>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</si>
  <si>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</si>
  <si>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</si>
  <si>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</si>
  <si>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</si>
  <si>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</si>
  <si>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</si>
  <si>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</si>
  <si>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</si>
  <si>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</si>
  <si>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</si>
  <si>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</si>
  <si>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</si>
  <si>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</si>
  <si>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</si>
  <si>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</si>
  <si>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</si>
  <si>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</si>
  <si>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</si>
  <si>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</si>
  <si>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</si>
  <si>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</si>
  <si>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</si>
  <si>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</si>
  <si>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</si>
  <si>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</si>
  <si>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</si>
  <si>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</si>
  <si>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</si>
  <si>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</si>
  <si>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</si>
  <si>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</si>
  <si>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</si>
  <si>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</si>
  <si>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</si>
  <si>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</si>
  <si>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</si>
  <si>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</si>
  <si>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</si>
  <si>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</si>
  <si>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</si>
  <si>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</si>
  <si>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</si>
  <si>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</si>
  <si>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</si>
  <si>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</si>
  <si>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</si>
  <si>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</si>
  <si>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</si>
  <si>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</si>
  <si>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</si>
  <si>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</si>
  <si>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</si>
  <si>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</si>
  <si>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</si>
  <si>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</si>
  <si>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</si>
  <si>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</si>
  <si>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</si>
  <si>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</si>
  <si>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</si>
  <si>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</si>
  <si>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</si>
  <si>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</si>
  <si>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</si>
  <si>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</si>
  <si>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</si>
  <si>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</si>
  <si>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</si>
  <si>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</si>
  <si>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</si>
  <si>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</si>
  <si>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</si>
  <si>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</si>
  <si>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</si>
  <si>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</si>
  <si>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</si>
  <si>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</si>
  <si>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</si>
  <si>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</si>
  <si>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</si>
  <si>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</si>
  <si>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</si>
  <si>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</si>
  <si>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</si>
  <si>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</si>
  <si>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</si>
  <si>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</si>
  <si>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</si>
  <si>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</si>
  <si>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</si>
  <si>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</si>
  <si>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</si>
  <si>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</si>
  <si>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</si>
  <si>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</si>
  <si>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</si>
  <si>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</si>
  <si>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</si>
  <si>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</si>
  <si>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</si>
  <si>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</si>
  <si>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</si>
  <si>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</si>
  <si>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</si>
  <si>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</si>
  <si>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</si>
  <si>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</si>
  <si>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</si>
  <si>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</si>
  <si>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</si>
  <si>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</si>
  <si>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</si>
  <si>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</si>
  <si>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</si>
  <si>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</si>
  <si>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</si>
  <si>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</si>
  <si>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</si>
  <si>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</si>
  <si>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</si>
  <si>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</si>
  <si>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</si>
  <si>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</si>
  <si>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</si>
  <si>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</si>
  <si>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</si>
  <si>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</si>
  <si>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</si>
  <si>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</si>
  <si>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</si>
  <si>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</si>
  <si>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</si>
  <si>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</si>
  <si>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</si>
  <si>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</si>
  <si>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</si>
  <si>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</si>
  <si>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</si>
  <si>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</si>
  <si>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</si>
  <si>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</si>
  <si>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</si>
  <si>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</si>
  <si>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</si>
  <si>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</si>
  <si>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</si>
  <si>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</si>
  <si>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</si>
  <si>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</si>
  <si>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</si>
  <si>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</si>
  <si>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</si>
  <si>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</si>
  <si>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</si>
  <si>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</si>
  <si>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</si>
  <si>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</si>
  <si>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</si>
  <si>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</si>
  <si>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</si>
  <si>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</si>
  <si>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</si>
  <si>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</si>
  <si>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</si>
  <si>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</si>
  <si>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</si>
  <si>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</si>
  <si>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</si>
  <si>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</si>
  <si>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</si>
  <si>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</si>
  <si>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</si>
  <si>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</si>
  <si>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</si>
  <si>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</si>
  <si>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</si>
  <si>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</si>
  <si>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</si>
  <si>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</si>
  <si>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</si>
  <si>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</si>
  <si>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</si>
  <si>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</si>
  <si>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</si>
  <si>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</si>
  <si>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</si>
  <si>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</si>
  <si>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</si>
  <si>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</si>
  <si>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</si>
  <si>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</si>
  <si>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</si>
  <si>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</si>
  <si>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</si>
  <si>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</si>
  <si>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</si>
  <si>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</si>
  <si>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</si>
  <si>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</si>
  <si>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</si>
  <si>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</si>
  <si>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</si>
  <si>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</si>
  <si>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</si>
  <si>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</si>
  <si>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</si>
  <si>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</si>
  <si>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</si>
  <si>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</si>
  <si>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</si>
  <si>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</si>
  <si>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</si>
  <si>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</si>
  <si>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</si>
  <si>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</si>
  <si>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</si>
  <si>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</si>
  <si>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</si>
  <si>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</si>
  <si>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</si>
  <si>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</si>
  <si>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</si>
  <si>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</si>
  <si>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</si>
  <si>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</si>
  <si>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</si>
  <si>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</si>
  <si>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</si>
  <si>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</si>
  <si>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</si>
  <si>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</si>
  <si>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</si>
  <si>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</si>
  <si>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</si>
  <si>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</si>
  <si>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</si>
  <si>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</si>
  <si>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</si>
  <si>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</si>
  <si>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</si>
  <si>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</si>
  <si>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</si>
  <si>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</si>
  <si>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</si>
  <si>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</si>
  <si>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</si>
  <si>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</si>
  <si>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</si>
  <si>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</si>
  <si>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</si>
  <si>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</si>
  <si>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</si>
  <si>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</si>
  <si>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</si>
  <si>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</si>
  <si>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</si>
  <si>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</si>
  <si>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</si>
  <si>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</si>
  <si>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</si>
  <si>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</si>
  <si>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</si>
  <si>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</si>
  <si>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</si>
  <si>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</si>
  <si>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</si>
  <si>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</si>
  <si>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</si>
  <si>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</si>
  <si>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</si>
  <si>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</si>
  <si>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</si>
  <si>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</si>
  <si>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</si>
  <si>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</si>
  <si>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</si>
  <si>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</si>
  <si>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</si>
  <si>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</si>
  <si>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</si>
  <si>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</si>
  <si>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</si>
  <si>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</si>
  <si>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</si>
  <si>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</si>
  <si>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</si>
  <si>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</si>
  <si>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</si>
  <si>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</si>
  <si>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</si>
  <si>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</si>
  <si>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</si>
  <si>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</si>
  <si>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</si>
  <si>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</si>
  <si>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</si>
  <si>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</si>
  <si>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</si>
  <si>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</si>
  <si>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</si>
  <si>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</si>
  <si>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</si>
  <si>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</si>
  <si>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</si>
  <si>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</si>
  <si>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</si>
  <si>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</si>
  <si>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</si>
  <si>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</si>
  <si>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</si>
  <si>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</si>
  <si>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</si>
  <si>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</si>
  <si>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</si>
  <si>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</si>
  <si>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</si>
  <si>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</si>
  <si>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</si>
  <si>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</si>
  <si>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</si>
  <si>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</si>
  <si>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</si>
  <si>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</si>
  <si>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</si>
  <si>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</si>
  <si>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</si>
  <si>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</si>
  <si>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</si>
  <si>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</si>
  <si>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</si>
  <si>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</si>
  <si>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</si>
  <si>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</si>
  <si>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</si>
  <si>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</si>
  <si>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</si>
  <si>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</si>
  <si>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</si>
  <si>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</si>
  <si>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</si>
  <si>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</si>
  <si>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</si>
  <si>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</si>
  <si>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</si>
  <si>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</si>
  <si>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</si>
  <si>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</si>
  <si>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</si>
  <si>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</si>
  <si>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</si>
  <si>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</si>
  <si>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</si>
  <si>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</si>
  <si>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</si>
  <si>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</si>
  <si>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</si>
  <si>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</si>
  <si>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</si>
  <si>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</si>
  <si>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</si>
  <si>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</si>
  <si>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</si>
  <si>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</si>
  <si>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</si>
  <si>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</si>
  <si>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</si>
  <si>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</si>
  <si>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</si>
  <si>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</si>
  <si>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</si>
  <si>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</si>
  <si>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</si>
  <si>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</si>
  <si>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</si>
  <si>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</si>
  <si>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</si>
  <si>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</si>
  <si>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</si>
  <si>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</si>
  <si>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</si>
  <si>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</si>
  <si>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</si>
  <si>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</si>
  <si>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</si>
  <si>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</si>
  <si>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</si>
  <si>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</si>
  <si>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</si>
  <si>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</si>
  <si>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</si>
  <si>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</si>
  <si>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</si>
  <si>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</si>
  <si>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</si>
  <si>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</si>
  <si>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</si>
  <si>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</si>
  <si>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</si>
  <si>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</si>
  <si>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</si>
  <si>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</si>
  <si>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</si>
  <si>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</si>
  <si>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</si>
  <si>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</si>
  <si>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</si>
  <si>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</si>
  <si>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</si>
  <si>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</si>
  <si>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</si>
  <si>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</si>
  <si>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</si>
  <si>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</si>
  <si>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</si>
  <si>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</si>
  <si>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</si>
  <si>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</si>
  <si>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</si>
  <si>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</si>
  <si>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</si>
  <si>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</si>
  <si>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</si>
  <si>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</si>
  <si>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</si>
  <si>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</si>
  <si>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</si>
  <si>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</si>
  <si>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</si>
  <si>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</si>
  <si>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</si>
  <si>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</si>
  <si>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</si>
  <si>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</si>
  <si>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</si>
  <si>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</si>
  <si>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</si>
  <si>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</si>
  <si>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</si>
  <si>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</si>
  <si>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</si>
  <si>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</si>
  <si>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</si>
  <si>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</si>
  <si>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</si>
  <si>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</si>
  <si>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</si>
  <si>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</si>
  <si>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</si>
  <si>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</si>
  <si>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</si>
  <si>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</si>
  <si>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</si>
  <si>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</si>
  <si>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</si>
  <si>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</si>
  <si>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</si>
  <si>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</si>
  <si>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</si>
  <si>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</si>
  <si>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</si>
  <si>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</si>
  <si>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</si>
  <si>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</si>
  <si>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</si>
  <si>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</si>
  <si>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</si>
  <si>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</si>
  <si>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</si>
  <si>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</si>
  <si>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</si>
  <si>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</si>
  <si>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</si>
  <si>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</si>
  <si>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</si>
  <si>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</si>
  <si>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</si>
  <si>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</si>
  <si>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</si>
  <si>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</si>
  <si>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</si>
  <si>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</si>
  <si>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</si>
  <si>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</si>
  <si>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</si>
  <si>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</si>
  <si>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</si>
  <si>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</si>
  <si>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</si>
  <si>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</si>
  <si>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</si>
  <si>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</si>
  <si>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</si>
  <si>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</si>
  <si>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</si>
  <si>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</si>
  <si>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</si>
  <si>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</si>
  <si>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</si>
  <si>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</si>
  <si>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</si>
  <si>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</si>
  <si>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</si>
  <si>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</si>
  <si>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</si>
  <si>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</si>
  <si>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</si>
  <si>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</si>
  <si>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</si>
  <si>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</si>
  <si>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</si>
  <si>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</si>
  <si>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</si>
  <si>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</si>
  <si>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</si>
  <si>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</si>
  <si>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</si>
  <si>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</si>
  <si>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</si>
  <si>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</si>
  <si>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</si>
  <si>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</si>
  <si>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</si>
  <si>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</si>
  <si>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</si>
  <si>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</si>
  <si>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</si>
  <si>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</si>
  <si>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</si>
  <si>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</si>
  <si>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</si>
  <si>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</si>
  <si>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</si>
  <si>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</si>
  <si>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</si>
  <si>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</si>
  <si>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</si>
  <si>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</si>
  <si>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</si>
  <si>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</si>
  <si>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</si>
  <si>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</si>
  <si>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</si>
  <si>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</si>
  <si>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</si>
  <si>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</si>
  <si>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</si>
  <si>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</si>
  <si>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</si>
  <si>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</si>
  <si>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</si>
  <si>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</si>
  <si>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</si>
  <si>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</si>
  <si>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</si>
  <si>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</si>
  <si>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</si>
  <si>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</si>
  <si>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</si>
  <si>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</si>
  <si>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</si>
  <si>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</si>
  <si>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</si>
  <si>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</si>
  <si>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</si>
  <si>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</si>
  <si>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</si>
  <si>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</si>
  <si>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</si>
  <si>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</si>
  <si>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</si>
  <si>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</si>
  <si>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</si>
  <si>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</si>
  <si>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</si>
  <si>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</si>
  <si>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</si>
  <si>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</si>
  <si>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</si>
  <si>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</si>
  <si>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</si>
  <si>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</si>
  <si>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</si>
  <si>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</si>
  <si>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</si>
  <si>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</si>
  <si>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</si>
  <si>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</si>
  <si>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</si>
  <si>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</si>
  <si>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</si>
  <si>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</si>
  <si>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</si>
  <si>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</si>
  <si>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</si>
  <si>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</si>
  <si>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</si>
  <si>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</si>
  <si>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</si>
  <si>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</si>
  <si>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</si>
  <si>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</si>
  <si>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</si>
  <si>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</si>
  <si>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</si>
  <si>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</si>
  <si>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</si>
  <si>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</si>
  <si>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</si>
  <si>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</si>
  <si>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</si>
  <si>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</si>
  <si>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</si>
  <si>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</si>
  <si>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</si>
  <si>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</si>
  <si>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</si>
  <si>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</si>
  <si>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</si>
  <si>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</si>
  <si>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</si>
  <si>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</si>
  <si>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</si>
  <si>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</si>
  <si>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</si>
  <si>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</si>
  <si>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</si>
  <si>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</si>
  <si>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</si>
  <si>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</si>
  <si>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</si>
  <si>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</si>
  <si>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</si>
  <si>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</si>
  <si>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</si>
  <si>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</si>
  <si>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</si>
  <si>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</si>
  <si>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</si>
  <si>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</si>
  <si>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</si>
  <si>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</si>
  <si>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</si>
  <si>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</si>
  <si>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</si>
  <si>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</si>
  <si>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</si>
  <si>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</si>
  <si>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</si>
  <si>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</si>
  <si>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</si>
  <si>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</si>
  <si>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</si>
  <si>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</si>
  <si>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</si>
  <si>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</si>
  <si>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</si>
  <si>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</si>
  <si>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</si>
  <si>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</si>
  <si>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</si>
  <si>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</si>
  <si>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</si>
  <si>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</si>
  <si>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</si>
  <si>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</si>
  <si>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</si>
  <si>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</si>
  <si>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</si>
  <si>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</si>
  <si>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</si>
  <si>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</si>
  <si>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</si>
  <si>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</si>
  <si>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</si>
  <si>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</si>
  <si>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</si>
  <si>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</si>
  <si>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</si>
  <si>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</si>
  <si>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</si>
  <si>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</si>
  <si>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</si>
  <si>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</si>
  <si>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</si>
  <si>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</si>
  <si>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</si>
  <si>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</si>
  <si>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</si>
  <si>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</si>
  <si>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</si>
  <si>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</si>
  <si>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</si>
  <si>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</si>
  <si>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</si>
  <si>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</si>
  <si>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</si>
  <si>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</si>
  <si>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</si>
  <si>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</si>
  <si>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</si>
  <si>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</si>
  <si>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</si>
  <si>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</si>
  <si>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</si>
  <si>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</si>
  <si>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</si>
  <si>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</si>
  <si>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</si>
  <si>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</si>
  <si>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</si>
  <si>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</si>
  <si>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</si>
  <si>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</si>
  <si>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</si>
  <si>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</si>
  <si>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</si>
  <si>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</si>
  <si>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</si>
  <si>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</si>
  <si>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</si>
  <si>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</si>
  <si>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</si>
  <si>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</si>
  <si>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</si>
  <si>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</si>
  <si>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</si>
  <si>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</si>
  <si>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</si>
  <si>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</si>
  <si>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</si>
  <si>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</si>
  <si>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</si>
  <si>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</si>
  <si>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</si>
  <si>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</si>
  <si>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</si>
  <si>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</si>
  <si>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</si>
  <si>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</si>
  <si>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</si>
  <si>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</si>
  <si>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</si>
  <si>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</si>
  <si>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</si>
  <si>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</si>
  <si>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</si>
  <si>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</si>
  <si>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</si>
  <si>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</si>
  <si>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</si>
  <si>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</si>
  <si>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</si>
  <si>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</si>
  <si>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</si>
  <si>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</si>
  <si>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</si>
  <si>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</si>
  <si>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</si>
  <si>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</si>
  <si>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</si>
  <si>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</si>
  <si>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</si>
  <si>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</si>
  <si>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</si>
  <si>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</si>
  <si>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</si>
  <si>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</si>
  <si>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</si>
  <si>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</si>
  <si>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</si>
  <si>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</si>
  <si>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</si>
  <si>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</si>
  <si>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</si>
  <si>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</si>
  <si>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</si>
  <si>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</si>
  <si>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</si>
  <si>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</si>
  <si>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</si>
  <si>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</si>
  <si>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</si>
  <si>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</si>
  <si>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</si>
  <si>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</si>
  <si>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</si>
  <si>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</si>
  <si>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</si>
  <si>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</si>
  <si>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</si>
  <si>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</si>
  <si>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</si>
  <si>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</si>
  <si>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</si>
  <si>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</si>
  <si>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</si>
  <si>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</si>
  <si>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</si>
  <si>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</si>
  <si>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</si>
  <si>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</si>
  <si>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</si>
  <si>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</si>
  <si>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</si>
  <si>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</si>
  <si>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</si>
  <si>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</si>
  <si>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</si>
  <si>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</si>
  <si>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</si>
  <si>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</si>
  <si>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</si>
  <si>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</si>
  <si>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</si>
  <si>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</si>
  <si>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</si>
  <si>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</si>
  <si>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</si>
  <si>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</si>
  <si>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</si>
  <si>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</si>
  <si>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</si>
  <si>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</si>
  <si>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</si>
  <si>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</si>
  <si>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</si>
  <si>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</si>
  <si>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</si>
  <si>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</si>
  <si>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</si>
  <si>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</si>
  <si>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</si>
  <si>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</si>
  <si>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</si>
  <si>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</si>
  <si>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</si>
  <si>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</si>
  <si>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</si>
  <si>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</si>
  <si>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</si>
  <si>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</si>
  <si>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</si>
  <si>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</si>
  <si>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</si>
  <si>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</si>
  <si>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</si>
  <si>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</si>
  <si>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</si>
  <si>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</si>
  <si>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</si>
  <si>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</si>
  <si>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</si>
  <si>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</si>
  <si>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</si>
  <si>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</si>
  <si>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</si>
  <si>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</si>
  <si>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</si>
  <si>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</si>
  <si>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</si>
  <si>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</si>
  <si>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</si>
  <si>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</si>
  <si>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</si>
  <si>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</si>
  <si>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</si>
  <si>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</si>
  <si>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</si>
  <si>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</si>
  <si>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</si>
  <si>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</si>
  <si>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</si>
  <si>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</si>
  <si>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</si>
  <si>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</si>
  <si>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</si>
  <si>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</si>
  <si>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</si>
  <si>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</si>
  <si>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</si>
  <si>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</si>
  <si>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</si>
  <si>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</si>
  <si>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</si>
  <si>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</si>
  <si>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</si>
  <si>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</si>
  <si>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</si>
  <si>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</si>
  <si>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</si>
  <si>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</si>
  <si>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</si>
  <si>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</si>
  <si>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</si>
  <si>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</si>
  <si>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</si>
  <si>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</si>
  <si>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</si>
  <si>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</si>
  <si>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</si>
  <si>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</si>
  <si>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</si>
  <si>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</si>
  <si>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</si>
  <si>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</si>
  <si>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</si>
  <si>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</si>
  <si>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</si>
  <si>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</si>
  <si>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</si>
  <si>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</si>
  <si>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</si>
  <si>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</si>
  <si>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</si>
  <si>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</si>
  <si>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</si>
  <si>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</si>
  <si>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</si>
  <si>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</si>
  <si>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</si>
  <si>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</si>
  <si>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</si>
  <si>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</si>
  <si>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</si>
  <si>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</si>
  <si>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</si>
  <si>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</si>
  <si>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</si>
  <si>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</si>
  <si>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</si>
  <si>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</si>
  <si>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</si>
  <si>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</si>
  <si>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</si>
  <si>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</si>
  <si>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</si>
  <si>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</si>
  <si>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</si>
  <si>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</si>
  <si>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</si>
  <si>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</si>
  <si>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</si>
  <si>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</si>
  <si>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</si>
  <si>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</si>
  <si>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</si>
  <si>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</si>
  <si>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</si>
  <si>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</si>
  <si>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</si>
  <si>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</si>
  <si>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</si>
  <si>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</si>
  <si>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</si>
  <si>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</si>
  <si>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</si>
  <si>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</si>
  <si>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</si>
  <si>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</si>
  <si>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</si>
  <si>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</si>
  <si>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</si>
  <si>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</si>
  <si>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</si>
  <si>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</si>
  <si>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</si>
  <si>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</si>
  <si>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</si>
  <si>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</si>
  <si>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</si>
  <si>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</si>
  <si>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</si>
  <si>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</si>
  <si>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</si>
  <si>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</si>
  <si>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</si>
  <si>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</si>
  <si>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</si>
  <si>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</si>
  <si>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</si>
  <si>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</si>
  <si>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</si>
  <si>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</si>
  <si>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</si>
  <si>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</si>
  <si>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</si>
  <si>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</si>
  <si>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</si>
  <si>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</si>
  <si>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</si>
  <si>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</si>
  <si>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</si>
  <si>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</si>
  <si>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</si>
  <si>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</si>
  <si>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</si>
  <si>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</si>
  <si>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</si>
  <si>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</si>
  <si>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</si>
  <si>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</si>
  <si>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</si>
  <si>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</si>
  <si>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</si>
  <si>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</si>
  <si>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</si>
  <si>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</si>
  <si>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</si>
  <si>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</si>
  <si>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</si>
  <si>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</si>
  <si>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</si>
  <si>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</si>
  <si>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</si>
  <si>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</si>
  <si>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</si>
  <si>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</si>
  <si>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</si>
  <si>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</si>
  <si>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</si>
  <si>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</si>
  <si>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</si>
  <si>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</si>
  <si>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</si>
  <si>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</si>
  <si>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</si>
  <si>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</si>
  <si>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</si>
  <si>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</si>
  <si>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</si>
  <si>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</si>
  <si>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</si>
  <si>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</si>
  <si>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</si>
  <si>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</si>
  <si>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</si>
  <si>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</si>
  <si>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</si>
  <si>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</si>
  <si>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</si>
  <si>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</si>
  <si>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</si>
  <si>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</si>
  <si>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</si>
  <si>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</si>
  <si>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</si>
  <si>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</si>
  <si>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</si>
  <si>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</si>
  <si>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</si>
  <si>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</si>
  <si>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</si>
  <si>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</si>
  <si>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</si>
  <si>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</si>
  <si>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</si>
  <si>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</si>
  <si>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</si>
  <si>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</si>
  <si>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</si>
  <si>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</si>
  <si>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</si>
  <si>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</si>
  <si>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</si>
  <si>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</si>
  <si>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</si>
  <si>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</si>
  <si>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</si>
  <si>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</si>
  <si>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</si>
  <si>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</si>
  <si>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</si>
  <si>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</si>
  <si>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</si>
  <si>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</si>
  <si>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</si>
  <si>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</si>
  <si>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</si>
  <si>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</si>
  <si>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</si>
  <si>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</si>
  <si>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</si>
  <si>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</si>
  <si>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</si>
  <si>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</si>
  <si>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</si>
  <si>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</si>
  <si>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</si>
  <si>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</si>
  <si>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</si>
  <si>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</si>
  <si>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</si>
  <si>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</si>
  <si>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</si>
  <si>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</si>
  <si>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</si>
  <si>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</si>
  <si>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</si>
  <si>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</si>
  <si>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</si>
  <si>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</si>
  <si>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</si>
  <si>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</si>
  <si>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</si>
  <si>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</si>
  <si>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</si>
  <si>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</si>
  <si>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</si>
  <si>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</si>
  <si>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</si>
  <si>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</si>
  <si>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</si>
  <si>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</si>
  <si>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</si>
  <si>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</si>
  <si>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</si>
  <si>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</si>
  <si>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</si>
  <si>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</si>
  <si>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</si>
  <si>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</si>
  <si>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</si>
  <si>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</si>
  <si>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</si>
  <si>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</si>
  <si>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</si>
  <si>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</si>
  <si>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</si>
  <si>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</si>
  <si>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</si>
  <si>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</si>
  <si>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</si>
  <si>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</si>
  <si>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</si>
  <si>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</si>
  <si>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</si>
  <si>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</si>
  <si>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</si>
  <si>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</si>
  <si>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</si>
  <si>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</si>
  <si>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</si>
  <si>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</si>
  <si>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</si>
  <si>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</si>
  <si>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</si>
  <si>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</si>
  <si>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</si>
  <si>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</si>
  <si>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</si>
  <si>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</si>
  <si>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</si>
  <si>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</si>
  <si>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</si>
  <si>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</si>
  <si>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</si>
  <si>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</si>
  <si>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</si>
  <si>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</si>
  <si>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</si>
  <si>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</si>
  <si>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</si>
  <si>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</si>
  <si>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</si>
  <si>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</si>
  <si>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</si>
  <si>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</si>
  <si>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</si>
  <si>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</si>
  <si>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</si>
  <si>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</si>
  <si>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</si>
  <si>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</si>
  <si>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</si>
  <si>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</si>
  <si>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</si>
  <si>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</si>
  <si>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</si>
  <si>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</si>
  <si>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</si>
  <si>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</si>
  <si>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</si>
  <si>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</si>
  <si>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</si>
  <si>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</si>
  <si>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</si>
  <si>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</si>
  <si>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</si>
  <si>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</si>
  <si>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</si>
  <si>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</si>
  <si>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</si>
  <si>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</si>
  <si>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</si>
  <si>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</si>
  <si>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</si>
  <si>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</si>
  <si>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</si>
  <si>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</si>
  <si>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</si>
  <si>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</si>
  <si>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</si>
  <si>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</si>
  <si>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</si>
  <si>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</si>
  <si>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</si>
  <si>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</si>
  <si>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</si>
  <si>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</si>
  <si>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</si>
  <si>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</si>
  <si>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</si>
  <si>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</si>
  <si>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</si>
  <si>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</si>
  <si>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</si>
  <si>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</si>
  <si>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</si>
  <si>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</si>
  <si>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</si>
  <si>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</si>
  <si>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</si>
  <si>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</si>
  <si>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</si>
  <si>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</si>
  <si>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</si>
  <si>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</si>
  <si>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</si>
  <si>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</si>
  <si>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</si>
  <si>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</si>
  <si>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</si>
  <si>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</si>
  <si>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</si>
  <si>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</si>
  <si>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</si>
  <si>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</si>
  <si>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</si>
  <si>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</si>
  <si>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</si>
  <si>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</si>
  <si>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</si>
  <si>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</si>
  <si>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</si>
  <si>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</si>
  <si>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</si>
  <si>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</si>
  <si>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</si>
  <si>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</si>
  <si>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</si>
  <si>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</si>
  <si>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</si>
  <si>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</si>
  <si>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</si>
  <si>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</si>
  <si>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</si>
  <si>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</si>
  <si>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</si>
  <si>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</si>
  <si>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</si>
  <si>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</si>
  <si>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</si>
  <si>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</si>
  <si>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</si>
  <si>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</si>
  <si>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</si>
  <si>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</si>
  <si>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</si>
  <si>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</si>
  <si>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</si>
  <si>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</si>
  <si>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</si>
  <si>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</si>
  <si>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</si>
  <si>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</si>
  <si>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</si>
  <si>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</si>
  <si>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</si>
  <si>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</si>
  <si>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</si>
  <si>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</si>
  <si>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</si>
  <si>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</si>
  <si>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</si>
  <si>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</si>
  <si>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</si>
  <si>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</si>
  <si>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</si>
  <si>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</si>
  <si>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</si>
  <si>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</si>
  <si>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</si>
  <si>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</si>
  <si>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</si>
  <si>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</si>
  <si>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</si>
  <si>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</si>
  <si>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</si>
  <si>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</si>
  <si>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</si>
  <si>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</si>
  <si>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</si>
  <si>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</si>
  <si>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</si>
  <si>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</si>
  <si>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</si>
  <si>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</si>
  <si>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</si>
  <si>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</si>
  <si>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</si>
  <si>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</si>
  <si>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</si>
  <si>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</si>
  <si>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</si>
  <si>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</si>
  <si>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</si>
  <si>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</si>
  <si>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</si>
  <si>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</si>
  <si>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</si>
  <si>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</si>
  <si>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</si>
  <si>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</si>
  <si>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</si>
  <si>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</si>
  <si>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</si>
  <si>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</si>
  <si>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</si>
  <si>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</si>
  <si>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</si>
  <si>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</si>
  <si>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</si>
  <si>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</si>
  <si>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</si>
  <si>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</si>
  <si>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</si>
  <si>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</si>
  <si>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</si>
  <si>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</si>
  <si>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</si>
  <si>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</si>
  <si>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</si>
  <si>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</si>
  <si>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</si>
  <si>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</si>
  <si>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</si>
  <si>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</si>
  <si>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</si>
  <si>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</si>
  <si>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</si>
  <si>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</si>
  <si>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</si>
  <si>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</si>
  <si>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</si>
  <si>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</si>
  <si>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</si>
  <si>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</si>
  <si>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</si>
  <si>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</si>
  <si>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</si>
  <si>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</si>
  <si>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</si>
  <si>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</si>
  <si>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</si>
  <si>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</si>
  <si>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</si>
  <si>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</si>
  <si>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</si>
  <si>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</si>
  <si>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</si>
  <si>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</si>
  <si>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</si>
  <si>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</si>
  <si>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</si>
  <si>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</si>
  <si>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</si>
  <si>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</si>
  <si>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</si>
  <si>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</si>
  <si>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</si>
  <si>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</si>
  <si>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</si>
  <si>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</si>
  <si>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</si>
  <si>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</si>
  <si>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</si>
  <si>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</si>
  <si>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</si>
  <si>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</si>
  <si>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</si>
  <si>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</si>
  <si>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</si>
  <si>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</si>
  <si>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</si>
  <si>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</si>
  <si>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</si>
  <si>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</si>
  <si>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</si>
  <si>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</si>
  <si>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</si>
  <si>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</si>
  <si>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</si>
  <si>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</si>
  <si>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</si>
  <si>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</si>
  <si>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</si>
  <si>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</si>
  <si>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</si>
  <si>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</si>
  <si>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</si>
  <si>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</si>
  <si>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</si>
  <si>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</si>
  <si>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</si>
  <si>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</si>
  <si>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</si>
  <si>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</si>
  <si>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</si>
  <si>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</si>
  <si>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</si>
  <si>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</si>
  <si>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</si>
  <si>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</si>
  <si>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</si>
  <si>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</si>
  <si>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</si>
  <si>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</si>
  <si>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</si>
  <si>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</si>
  <si>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</si>
  <si>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</si>
  <si>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</si>
  <si>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</si>
  <si>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</si>
  <si>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</si>
  <si>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</si>
  <si>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</si>
  <si>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</si>
  <si>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</si>
  <si>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</si>
  <si>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</si>
  <si>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</si>
  <si>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</si>
  <si>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</si>
  <si>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</si>
  <si>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</si>
  <si>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</si>
  <si>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</si>
  <si>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</si>
  <si>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</si>
  <si>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</si>
  <si>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</si>
  <si>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</si>
  <si>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</si>
  <si>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</si>
  <si>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</si>
  <si>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</si>
  <si>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</si>
  <si>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</si>
  <si>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</si>
  <si>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</si>
  <si>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</si>
  <si>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</si>
  <si>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</si>
  <si>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</si>
  <si>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</si>
  <si>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</si>
  <si>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</si>
  <si>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</si>
  <si>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</si>
  <si>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</si>
  <si>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</si>
  <si>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</si>
  <si>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</si>
  <si>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</si>
  <si>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</si>
  <si>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</si>
  <si>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</si>
  <si>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</si>
  <si>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</si>
  <si>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</si>
  <si>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</si>
  <si>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</si>
  <si>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</si>
  <si>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</si>
  <si>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</si>
  <si>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</si>
  <si>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</si>
  <si>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</si>
  <si>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</si>
  <si>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</si>
  <si>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</si>
  <si>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</si>
  <si>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</si>
  <si>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</si>
  <si>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</si>
  <si>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</si>
  <si>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</si>
  <si>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</si>
  <si>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</si>
  <si>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</si>
  <si>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</si>
  <si>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</si>
  <si>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</si>
  <si>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</si>
  <si>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</si>
  <si>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</si>
  <si>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</si>
  <si>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</si>
  <si>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</si>
  <si>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</si>
  <si>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</si>
  <si>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</si>
  <si>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</si>
  <si>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</si>
  <si>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</si>
  <si>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</si>
  <si>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</si>
  <si>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</si>
  <si>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</si>
  <si>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</si>
  <si>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</si>
  <si>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</si>
  <si>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</si>
  <si>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</si>
  <si>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</si>
  <si>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</si>
  <si>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</si>
  <si>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</si>
  <si>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</si>
  <si>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</si>
  <si>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</si>
  <si>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</si>
  <si>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</si>
  <si>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</si>
  <si>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</si>
  <si>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</si>
  <si>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</si>
  <si>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</si>
  <si>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</si>
  <si>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</si>
  <si>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</si>
  <si>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</si>
  <si>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</si>
  <si>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</si>
  <si>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</si>
  <si>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</si>
  <si>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</si>
  <si>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</si>
  <si>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</si>
  <si>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</si>
  <si>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</si>
  <si>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</si>
  <si>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</si>
  <si>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</si>
  <si>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</si>
  <si>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</si>
  <si>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</si>
  <si>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</si>
  <si>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</si>
  <si>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</si>
  <si>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</si>
  <si>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</si>
  <si>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</si>
  <si>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</si>
  <si>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</si>
  <si>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</si>
  <si>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</si>
  <si>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</si>
  <si>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</si>
  <si>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</si>
  <si>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</si>
  <si>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</si>
  <si>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</si>
  <si>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</si>
  <si>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</si>
  <si>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</si>
  <si>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</si>
  <si>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</si>
  <si>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</si>
  <si>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</si>
  <si>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</si>
  <si>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</si>
  <si>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</si>
  <si>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</si>
  <si>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</si>
  <si>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</si>
  <si>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</si>
  <si>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</si>
  <si>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</si>
  <si>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</si>
  <si>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</si>
  <si>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</si>
  <si>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</si>
  <si>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</si>
  <si>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</si>
  <si>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</si>
  <si>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</si>
  <si>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</si>
  <si>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</si>
  <si>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</si>
  <si>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</si>
  <si>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</si>
  <si>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</si>
  <si>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</si>
  <si>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</si>
  <si>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</si>
  <si>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</si>
  <si>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</si>
  <si>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</si>
  <si>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</si>
  <si>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</si>
  <si>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</si>
  <si>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</si>
  <si>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</si>
  <si>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</si>
  <si>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</si>
  <si>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</si>
  <si>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</si>
  <si>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</si>
  <si>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</si>
  <si>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</si>
  <si>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</si>
  <si>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</si>
  <si>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</si>
  <si>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</si>
  <si>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</si>
  <si>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</si>
  <si>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</si>
  <si>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</si>
  <si>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</si>
  <si>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</si>
  <si>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</si>
  <si>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</si>
  <si>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</si>
  <si>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</si>
  <si>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</si>
  <si>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</si>
  <si>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</si>
  <si>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</si>
  <si>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</si>
  <si>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</si>
  <si>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</si>
  <si>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</si>
  <si>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</si>
  <si>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</si>
  <si>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</si>
  <si>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</si>
  <si>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</si>
  <si>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</si>
  <si>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</si>
  <si>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</si>
  <si>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</si>
  <si>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</si>
  <si>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</si>
  <si>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</si>
  <si>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</si>
  <si>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</si>
  <si>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</si>
  <si>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</si>
  <si>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</si>
  <si>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</si>
  <si>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</si>
  <si>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</si>
  <si>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</si>
  <si>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</si>
  <si>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</si>
  <si>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</si>
  <si>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</si>
  <si>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</si>
  <si>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</si>
  <si>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</si>
  <si>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</si>
  <si>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</si>
  <si>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</si>
  <si>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</si>
  <si>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</si>
  <si>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</si>
  <si>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</si>
  <si>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</si>
  <si>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</si>
  <si>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</si>
  <si>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</si>
  <si>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</si>
  <si>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</si>
  <si>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</si>
  <si>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</si>
  <si>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</si>
  <si>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</si>
  <si>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</si>
  <si>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</si>
  <si>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</si>
  <si>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</si>
  <si>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</si>
  <si>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</si>
  <si>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</si>
  <si>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</si>
  <si>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</si>
  <si>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</si>
  <si>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</si>
  <si>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</si>
  <si>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</si>
  <si>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</si>
  <si>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</si>
  <si>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</si>
  <si>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</si>
  <si>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</si>
  <si>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</si>
  <si>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</si>
  <si>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</si>
  <si>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</si>
  <si>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</si>
  <si>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</si>
  <si>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</si>
  <si>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</si>
  <si>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</si>
  <si>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</si>
  <si>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</si>
  <si>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</si>
  <si>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</si>
  <si>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</si>
  <si>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</si>
  <si>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</si>
  <si>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</si>
  <si>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</si>
  <si>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</si>
  <si>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</si>
  <si>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</si>
  <si>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</si>
  <si>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</si>
  <si>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</si>
  <si>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</si>
  <si>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</si>
  <si>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</si>
  <si>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</si>
  <si>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</si>
  <si>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</si>
  <si>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</si>
  <si>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</si>
  <si>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</si>
  <si>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</si>
  <si>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</si>
  <si>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</si>
  <si>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</si>
  <si>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</si>
  <si>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</si>
  <si>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</si>
  <si>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</si>
  <si>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</si>
  <si>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</si>
  <si>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</si>
  <si>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</si>
  <si>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</si>
  <si>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</si>
  <si>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</si>
  <si>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</si>
  <si>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</si>
  <si>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</si>
  <si>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</si>
  <si>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</si>
  <si>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</si>
  <si>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</si>
  <si>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</si>
  <si>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</si>
  <si>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</si>
  <si>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</si>
  <si>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</si>
  <si>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</si>
  <si>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</si>
  <si>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</si>
  <si>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</si>
  <si>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</si>
  <si>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</si>
  <si>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</si>
  <si>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</si>
  <si>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</si>
  <si>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</si>
  <si>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</si>
  <si>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</si>
  <si>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</si>
  <si>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</si>
  <si>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</si>
  <si>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</si>
  <si>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</si>
  <si>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</si>
  <si>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</si>
  <si>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</si>
  <si>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</si>
  <si>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</si>
  <si>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</si>
  <si>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</si>
  <si>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</si>
  <si>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</si>
  <si>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</si>
  <si>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</si>
  <si>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</si>
  <si>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</si>
  <si>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</si>
  <si>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</si>
  <si>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</si>
  <si>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</si>
  <si>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</si>
  <si>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</si>
  <si>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</si>
  <si>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</si>
  <si>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</si>
  <si>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</si>
  <si>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</si>
  <si>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</si>
  <si>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</si>
  <si>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</si>
  <si>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</si>
  <si>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</si>
  <si>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</si>
  <si>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</si>
  <si>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</si>
  <si>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</si>
  <si>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</si>
  <si>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</si>
  <si>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</si>
  <si>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</si>
  <si>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</si>
  <si>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</si>
  <si>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</si>
  <si>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</si>
  <si>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</si>
  <si>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</si>
  <si>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</si>
  <si>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</si>
  <si>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</si>
  <si>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</si>
  <si>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</si>
  <si>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</si>
  <si>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</si>
  <si>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</si>
  <si>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</si>
  <si>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</si>
  <si>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</si>
  <si>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</si>
  <si>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</si>
  <si>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</si>
  <si>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</si>
  <si>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</si>
  <si>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</si>
  <si>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</si>
  <si>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</si>
  <si>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</si>
  <si>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</si>
  <si>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</si>
  <si>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</si>
  <si>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</si>
  <si>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</si>
  <si>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</si>
  <si>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</si>
  <si>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</si>
  <si>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</si>
  <si>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</si>
  <si>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</si>
  <si>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</si>
  <si>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</si>
  <si>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</si>
  <si>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</si>
  <si>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</si>
  <si>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</si>
  <si>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</si>
  <si>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</si>
  <si>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</si>
  <si>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</si>
  <si>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</si>
  <si>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</si>
  <si>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</si>
  <si>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</si>
  <si>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</si>
  <si>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</si>
  <si>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</si>
  <si>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</si>
  <si>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</si>
  <si>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</si>
  <si>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</si>
  <si>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</si>
  <si>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</si>
  <si>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</si>
  <si>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</si>
  <si>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</si>
  <si>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</si>
  <si>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</si>
  <si>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</si>
  <si>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</si>
  <si>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</si>
  <si>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</si>
  <si>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</si>
  <si>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</si>
  <si>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</si>
  <si>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</si>
  <si>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</si>
  <si>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</si>
  <si>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</si>
  <si>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</si>
  <si>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</si>
  <si>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</si>
  <si>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</si>
  <si>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</si>
  <si>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</si>
  <si>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</si>
  <si>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</si>
  <si>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</si>
  <si>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</si>
  <si>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</si>
  <si>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</si>
  <si>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</si>
  <si>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</si>
  <si>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</si>
  <si>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</si>
  <si>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</si>
  <si>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</si>
  <si>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</si>
  <si>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</si>
  <si>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</si>
  <si>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</si>
  <si>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</si>
  <si>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</si>
  <si>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</si>
  <si>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</si>
  <si>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</si>
  <si>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</si>
  <si>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</si>
  <si>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</si>
  <si>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</si>
  <si>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</si>
  <si>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</si>
  <si>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</si>
  <si>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</si>
  <si>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</si>
  <si>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</si>
  <si>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</si>
  <si>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</si>
  <si>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</si>
  <si>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</si>
  <si>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</si>
  <si>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</si>
  <si>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</si>
  <si>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</si>
  <si>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</si>
  <si>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</si>
  <si>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</si>
  <si>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</si>
  <si>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</si>
  <si>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</si>
  <si>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</si>
  <si>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</si>
  <si>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</si>
  <si>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</si>
  <si>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</si>
  <si>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</si>
  <si>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</si>
  <si>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</si>
  <si>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</si>
  <si>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</si>
  <si>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</si>
  <si>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</si>
  <si>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</si>
  <si>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</si>
  <si>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</si>
  <si>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</si>
  <si>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</si>
  <si>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</si>
  <si>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</si>
  <si>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</si>
  <si>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</si>
  <si>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</si>
  <si>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</si>
  <si>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</si>
  <si>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</si>
  <si>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</si>
  <si>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</si>
  <si>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</si>
  <si>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</si>
  <si>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</si>
  <si>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</si>
  <si>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</si>
  <si>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</si>
  <si>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</si>
  <si>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</si>
  <si>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</si>
  <si>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</si>
  <si>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</si>
  <si>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</si>
  <si>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</si>
  <si>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</si>
  <si>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</si>
  <si>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</si>
  <si>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</si>
  <si>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</si>
  <si>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</si>
  <si>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</si>
  <si>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</si>
  <si>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</si>
  <si>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</si>
  <si>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</si>
  <si>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</si>
  <si>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</si>
  <si>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</si>
  <si>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</si>
  <si>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</si>
  <si>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</si>
  <si>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</si>
  <si>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</si>
  <si>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</si>
  <si>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</si>
  <si>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</si>
  <si>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</si>
  <si>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</si>
  <si>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</si>
  <si>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</si>
  <si>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</si>
  <si>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</si>
  <si>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</si>
  <si>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</si>
  <si>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</si>
  <si>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</si>
  <si>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</si>
  <si>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</si>
  <si>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</si>
  <si>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</si>
  <si>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</si>
  <si>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</si>
  <si>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</si>
  <si>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</si>
  <si>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</si>
  <si>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</si>
  <si>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</si>
  <si>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</si>
  <si>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</si>
  <si>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</si>
  <si>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</si>
  <si>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</si>
  <si>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</si>
  <si>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</si>
  <si>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</si>
  <si>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</si>
  <si>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</si>
  <si>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</si>
  <si>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</si>
  <si>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</si>
  <si>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</si>
  <si>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</si>
  <si>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</si>
  <si>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</si>
  <si>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</si>
  <si>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</si>
  <si>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</si>
  <si>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</si>
  <si>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</si>
  <si>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</si>
  <si>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</si>
  <si>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</si>
  <si>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</si>
  <si>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</si>
  <si>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</si>
  <si>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</si>
  <si>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</si>
  <si>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</si>
  <si>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</si>
  <si>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</si>
  <si>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</si>
  <si>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</si>
  <si>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</si>
  <si>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</si>
  <si>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</si>
  <si>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</si>
  <si>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</si>
  <si>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</si>
  <si>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</si>
  <si>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</si>
  <si>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</si>
  <si>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</si>
  <si>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</si>
  <si>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</si>
  <si>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</si>
  <si>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</si>
  <si>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</si>
  <si>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</si>
  <si>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</si>
  <si>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</si>
  <si>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</si>
  <si>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</si>
  <si>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</si>
  <si>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</si>
  <si>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</si>
  <si>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</si>
  <si>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</si>
  <si>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</si>
  <si>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</si>
  <si>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</si>
  <si>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</si>
  <si>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</si>
  <si>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</si>
  <si>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</si>
  <si>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</si>
  <si>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</si>
  <si>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</si>
  <si>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</si>
  <si>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</si>
  <si>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</si>
  <si>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</si>
  <si>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</si>
  <si>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</si>
  <si>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</si>
  <si>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</si>
  <si>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</si>
  <si>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</si>
  <si>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</si>
  <si>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</si>
  <si>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</si>
  <si>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</si>
  <si>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</si>
  <si>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</si>
  <si>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</si>
  <si>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</si>
  <si>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</si>
  <si>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</si>
  <si>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</si>
  <si>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</si>
  <si>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</si>
  <si>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</si>
  <si>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</si>
  <si>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</si>
  <si>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</si>
  <si>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</si>
  <si>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</si>
  <si>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</si>
  <si>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</si>
  <si>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</si>
  <si>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</si>
  <si>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</si>
  <si>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</si>
  <si>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</si>
  <si>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</si>
  <si>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</si>
  <si>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</si>
  <si>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</si>
  <si>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</si>
  <si>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</si>
  <si>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</si>
  <si>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</si>
  <si>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</si>
  <si>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</si>
  <si>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</si>
  <si>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</si>
  <si>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</si>
  <si>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</si>
  <si>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</si>
  <si>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</si>
  <si>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</si>
  <si>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</si>
  <si>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</si>
  <si>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</si>
  <si>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</si>
  <si>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</si>
  <si>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</si>
  <si>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</si>
  <si>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</si>
  <si>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</si>
  <si>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</si>
  <si>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</si>
  <si>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</si>
  <si>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</si>
  <si>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</si>
  <si>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</si>
  <si>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</si>
  <si>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</si>
  <si>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</si>
  <si>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</si>
  <si>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</si>
  <si>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</si>
  <si>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</si>
  <si>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</si>
  <si>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</si>
  <si>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</si>
  <si>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</si>
  <si>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</si>
  <si>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</si>
  <si>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</si>
  <si>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</si>
  <si>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</si>
  <si>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</si>
  <si>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</si>
  <si>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</si>
  <si>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</si>
  <si>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</si>
  <si>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</si>
  <si>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</si>
  <si>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</si>
  <si>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</si>
  <si>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</si>
  <si>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</si>
  <si>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</si>
  <si>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</si>
  <si>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</si>
  <si>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</si>
  <si>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</si>
  <si>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</si>
  <si>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</si>
  <si>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</si>
  <si>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</si>
  <si>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</si>
  <si>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</si>
  <si>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</si>
  <si>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</si>
  <si>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</si>
  <si>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</si>
  <si>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</si>
  <si>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</si>
  <si>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</si>
  <si>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</si>
  <si>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</si>
  <si>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</si>
  <si>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</si>
  <si>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</si>
  <si>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</si>
  <si>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</si>
  <si>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</si>
  <si>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</si>
  <si>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</si>
  <si>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</si>
  <si>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</si>
  <si>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</si>
  <si>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</si>
  <si>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</si>
  <si>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</si>
  <si>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</si>
  <si>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</si>
  <si>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</si>
  <si>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</si>
  <si>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</si>
  <si>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</si>
  <si>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</si>
  <si>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</si>
  <si>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</si>
  <si>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</si>
  <si>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</si>
  <si>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</si>
  <si>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</si>
  <si>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</si>
  <si>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</si>
  <si>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</si>
  <si>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</si>
  <si>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</si>
  <si>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</si>
  <si>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</si>
  <si>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</si>
  <si>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</si>
  <si>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</si>
  <si>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</si>
  <si>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</si>
  <si>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</si>
  <si>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</si>
  <si>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</si>
  <si>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</si>
  <si>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</si>
  <si>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</si>
  <si>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</si>
  <si>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</si>
  <si>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</si>
  <si>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</si>
  <si>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</si>
  <si>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</si>
  <si>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</si>
  <si>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</si>
  <si>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</si>
  <si>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</si>
  <si>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</si>
  <si>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</si>
  <si>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</si>
  <si>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</si>
  <si>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</si>
  <si>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</si>
  <si>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</si>
  <si>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</si>
  <si>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</si>
  <si>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</si>
  <si>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</si>
  <si>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</si>
  <si>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</si>
  <si>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</si>
  <si>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</si>
  <si>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</si>
  <si>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</si>
  <si>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</si>
  <si>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</si>
  <si>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</si>
  <si>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</si>
  <si>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</si>
  <si>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</si>
  <si>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</si>
  <si>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</si>
  <si>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</si>
  <si>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</si>
  <si>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</si>
  <si>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</si>
  <si>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</si>
  <si>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</si>
  <si>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</si>
  <si>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</si>
  <si>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</si>
  <si>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</si>
  <si>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</si>
  <si>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</si>
  <si>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</si>
  <si>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</si>
  <si>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</si>
  <si>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</si>
  <si>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</si>
  <si>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</si>
  <si>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</si>
  <si>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</si>
  <si>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</si>
  <si>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</si>
  <si>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</si>
  <si>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</si>
  <si>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</si>
  <si>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</si>
  <si>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</si>
  <si>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</si>
  <si>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</si>
  <si>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</si>
  <si>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</si>
  <si>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</si>
  <si>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</si>
  <si>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</si>
  <si>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</si>
  <si>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</si>
  <si>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</si>
  <si>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</si>
  <si>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</si>
  <si>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</si>
  <si>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</si>
  <si>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</si>
  <si>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</si>
  <si>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</si>
  <si>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</si>
  <si>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</si>
  <si>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</si>
  <si>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</si>
  <si>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</si>
  <si>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</si>
  <si>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</si>
  <si>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</si>
  <si>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</si>
  <si>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</si>
  <si>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</si>
  <si>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</si>
  <si>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</si>
  <si>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</si>
  <si>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</si>
  <si>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</si>
  <si>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</si>
  <si>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</si>
  <si>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</si>
  <si>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</si>
  <si>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</si>
  <si>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</si>
  <si>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</si>
  <si>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</si>
  <si>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</si>
  <si>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</si>
  <si>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</si>
  <si>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</si>
  <si>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</si>
  <si>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</si>
  <si>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</si>
  <si>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</si>
  <si>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</si>
  <si>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</si>
  <si>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</si>
  <si>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</si>
  <si>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</si>
  <si>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</si>
  <si>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</si>
  <si>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</si>
  <si>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</si>
  <si>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</si>
  <si>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</si>
  <si>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</si>
  <si>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</si>
  <si>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</si>
  <si>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</si>
  <si>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</si>
  <si>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</si>
  <si>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</si>
  <si>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</si>
  <si>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</si>
  <si>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</si>
  <si>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</si>
  <si>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</si>
  <si>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</si>
  <si>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</si>
  <si>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</si>
  <si>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</si>
  <si>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</si>
  <si>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</si>
  <si>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</si>
  <si>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</si>
  <si>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</si>
  <si>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</si>
  <si>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</si>
  <si>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</si>
  <si>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</si>
  <si>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</si>
  <si>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</si>
  <si>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</si>
  <si>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</si>
  <si>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</si>
  <si>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</si>
  <si>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</si>
  <si>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</si>
  <si>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</si>
  <si>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</si>
  <si>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</si>
  <si>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</si>
  <si>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</si>
  <si>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</si>
  <si>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</si>
  <si>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</si>
  <si>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</si>
  <si>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</si>
  <si>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</si>
  <si>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</si>
  <si>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</si>
  <si>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</si>
  <si>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</si>
  <si>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</si>
  <si>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</si>
  <si>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</si>
  <si>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</si>
  <si>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</si>
  <si>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</si>
  <si>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</si>
  <si>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</si>
  <si>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</si>
  <si>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</si>
  <si>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</si>
  <si>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</si>
  <si>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</si>
  <si>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</si>
  <si>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</si>
  <si>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</si>
  <si>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</si>
  <si>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</si>
  <si>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</si>
  <si>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</si>
  <si>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</si>
  <si>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</si>
  <si>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</si>
  <si>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</si>
  <si>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</si>
  <si>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</si>
  <si>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</si>
  <si>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</si>
  <si>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</si>
  <si>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</si>
  <si>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</si>
  <si>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</si>
  <si>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</si>
  <si>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</si>
  <si>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</si>
  <si>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</si>
  <si>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</si>
  <si>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</si>
  <si>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</si>
  <si>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</si>
  <si>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</si>
  <si>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</si>
  <si>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</si>
  <si>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</si>
  <si>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</si>
  <si>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</si>
  <si>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</si>
  <si>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</si>
  <si>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</si>
  <si>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</si>
  <si>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</si>
  <si>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</si>
  <si>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</si>
  <si>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</si>
  <si>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</si>
  <si>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</si>
  <si>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</si>
  <si>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</si>
  <si>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</si>
  <si>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</si>
  <si>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</si>
  <si>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</si>
  <si>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</si>
  <si>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</si>
  <si>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</si>
  <si>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</si>
  <si>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</si>
  <si>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</si>
  <si>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</si>
  <si>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</si>
  <si>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</si>
  <si>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</si>
  <si>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</si>
  <si>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</si>
  <si>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</si>
  <si>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</si>
  <si>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</si>
  <si>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</si>
  <si>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</si>
  <si>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</si>
  <si>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</si>
  <si>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</si>
  <si>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</si>
  <si>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</si>
  <si>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</si>
  <si>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</si>
  <si>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</si>
  <si>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</si>
  <si>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</si>
  <si>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</si>
  <si>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</si>
  <si>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</si>
  <si>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</si>
  <si>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</si>
  <si>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</si>
  <si>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</si>
  <si>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</si>
  <si>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</si>
  <si>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</si>
  <si>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</si>
  <si>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</si>
  <si>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</si>
  <si>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</si>
  <si>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</si>
  <si>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</si>
  <si>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</si>
  <si>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</si>
  <si>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</si>
  <si>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</si>
  <si>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</si>
  <si>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</si>
  <si>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</si>
  <si>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</si>
  <si>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</si>
  <si>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</si>
  <si>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</si>
  <si>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</si>
  <si>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</si>
  <si>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</si>
  <si>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</si>
  <si>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</si>
  <si>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</si>
  <si>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</si>
  <si>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</si>
  <si>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</si>
  <si>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</si>
  <si>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</si>
  <si>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</si>
  <si>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</si>
  <si>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</si>
  <si>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</si>
  <si>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</si>
  <si>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</si>
  <si>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</si>
  <si>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</si>
  <si>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</si>
  <si>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</si>
  <si>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</si>
  <si>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</si>
  <si>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</si>
  <si>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</si>
  <si>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</si>
  <si>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</si>
  <si>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</si>
  <si>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</si>
  <si>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</si>
  <si>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</si>
  <si>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</si>
  <si>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</si>
  <si>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</si>
  <si>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</si>
  <si>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</si>
  <si>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</si>
  <si>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</si>
  <si>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</si>
  <si>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</si>
  <si>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</si>
  <si>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</si>
  <si>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</si>
  <si>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</si>
  <si>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</si>
  <si>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</si>
  <si>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</si>
  <si>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</si>
  <si>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</si>
  <si>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</si>
  <si>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</si>
  <si>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</si>
  <si>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</si>
  <si>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</si>
  <si>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</si>
  <si>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</si>
  <si>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</si>
  <si>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</si>
  <si>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</si>
  <si>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</si>
  <si>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</si>
  <si>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</si>
  <si>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</si>
  <si>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</si>
  <si>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</si>
  <si>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</si>
  <si>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</si>
  <si>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</si>
  <si>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</si>
  <si>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</si>
  <si>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</si>
  <si>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</si>
  <si>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</si>
  <si>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</si>
  <si>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</si>
  <si>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</si>
  <si>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</si>
  <si>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</si>
  <si>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</si>
  <si>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</si>
  <si>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</si>
  <si>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</si>
  <si>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</si>
  <si>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</si>
  <si>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</si>
  <si>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</si>
  <si>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</si>
  <si>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</si>
  <si>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</si>
  <si>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</si>
  <si>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</si>
  <si>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</si>
  <si>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</si>
  <si>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</si>
  <si>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</si>
  <si>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</si>
  <si>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</si>
  <si>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</si>
  <si>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</si>
  <si>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</si>
  <si>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</si>
  <si>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</si>
  <si>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</si>
  <si>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</si>
  <si>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</si>
  <si>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</si>
  <si>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</si>
  <si>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</si>
  <si>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</si>
  <si>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</si>
  <si>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</si>
  <si>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</si>
  <si>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</si>
  <si>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</si>
  <si>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</si>
  <si>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</si>
  <si>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</si>
  <si>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</si>
  <si>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</si>
  <si>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</si>
  <si>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</si>
  <si>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</si>
  <si>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</si>
  <si>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</si>
  <si>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</si>
  <si>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</si>
  <si>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</si>
  <si>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</si>
  <si>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</si>
  <si>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</si>
  <si>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</si>
  <si>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</si>
  <si>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</si>
  <si>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</si>
  <si>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</si>
  <si>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</si>
  <si>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</si>
  <si>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</si>
  <si>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</si>
  <si>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</si>
  <si>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</si>
  <si>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</si>
  <si>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</si>
  <si>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</si>
  <si>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</si>
  <si>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</si>
  <si>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</si>
  <si>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</si>
  <si>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</si>
  <si>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</si>
  <si>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</si>
  <si>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</si>
  <si>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</si>
  <si>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</si>
  <si>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</si>
  <si>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</si>
  <si>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</si>
  <si>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</si>
  <si>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</si>
  <si>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</si>
  <si>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</si>
  <si>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</si>
  <si>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</si>
  <si>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</si>
  <si>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</si>
  <si>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</si>
  <si>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</si>
  <si>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</si>
  <si>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</si>
  <si>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</si>
  <si>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</si>
  <si>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</si>
  <si>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</si>
  <si>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</si>
  <si>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</si>
  <si>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</si>
  <si>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</si>
  <si>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</si>
  <si>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</si>
  <si>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</si>
  <si>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</si>
  <si>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</si>
  <si>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</si>
  <si>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</si>
  <si>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</si>
  <si>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</si>
  <si>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</si>
  <si>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</si>
  <si>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</si>
  <si>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</si>
  <si>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</si>
  <si>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</si>
  <si>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</si>
  <si>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</si>
  <si>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</si>
  <si>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وغدیر 34939 تا 1218</t>
  </si>
  <si>
    <t>18/11/1400</t>
  </si>
  <si>
    <t>24/11/1400</t>
  </si>
  <si>
    <t>وغدیر 116424 تا 1293</t>
  </si>
  <si>
    <t>وغدیر 853 تا 1299</t>
  </si>
  <si>
    <t>https://player.arvancloud.com/index.html?config=https://classiran.arvanlive.com/vasepah/origin_config.json</t>
  </si>
  <si>
    <t>طلب نصف 43 قسط وام 50 میلیونی 23/11/1400</t>
  </si>
  <si>
    <t>طلب از حاج خانوم 8/12/1400</t>
  </si>
  <si>
    <t>بدهی به مهدی 8/12/1400 سود بانکی</t>
  </si>
  <si>
    <t>سود تقسیمی برای وسپه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</si>
</sst>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topLeftCell="A109" zoomScale="85" zoomScaleNormal="85" workbookViewId="0">
      <selection activeCell="C222" sqref="C222"/>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 t="shared" ref="B141:B152" si="24">B140*(1+$E$140)</f>
        <v>1.0284500000000001</v>
      </c>
      <c r="C141" s="94">
        <f t="shared" ref="C141:C152" si="25">C140*(1+$E$140)</f>
        <v>3574.8922000000002</v>
      </c>
      <c r="E141" s="94"/>
      <c r="O141" s="97" t="s">
        <v>6417</v>
      </c>
      <c r="P141" s="18">
        <v>3000000</v>
      </c>
      <c r="Q141" s="97">
        <v>1</v>
      </c>
      <c r="R141" s="97">
        <f t="shared" si="16"/>
        <v>240</v>
      </c>
      <c r="S141" s="18">
        <f t="shared" si="17"/>
        <v>720000000</v>
      </c>
      <c r="T141" s="97"/>
    </row>
    <row r="142" spans="1:23">
      <c r="A142" s="94">
        <v>2</v>
      </c>
      <c r="B142" s="94">
        <f t="shared" si="24"/>
        <v>1.0577094025000002</v>
      </c>
      <c r="C142" s="94">
        <f t="shared" si="25"/>
        <v>3676.5978830900003</v>
      </c>
      <c r="E142" s="94"/>
      <c r="O142" s="97" t="s">
        <v>6418</v>
      </c>
      <c r="P142" s="18">
        <v>255000</v>
      </c>
      <c r="Q142" s="97">
        <v>1</v>
      </c>
      <c r="R142" s="97">
        <f t="shared" si="16"/>
        <v>239</v>
      </c>
      <c r="S142" s="18">
        <f t="shared" si="17"/>
        <v>60945000</v>
      </c>
      <c r="T142" s="97" t="s">
        <v>6419</v>
      </c>
    </row>
    <row r="143" spans="1:23">
      <c r="A143" s="94">
        <v>3</v>
      </c>
      <c r="B143" s="94">
        <f t="shared" si="24"/>
        <v>1.0878012350011252</v>
      </c>
      <c r="C143" s="94">
        <f t="shared" si="25"/>
        <v>3781.1970928639112</v>
      </c>
      <c r="O143" s="97" t="s">
        <v>6420</v>
      </c>
      <c r="P143" s="18">
        <v>-3255000</v>
      </c>
      <c r="Q143" s="97">
        <v>9</v>
      </c>
      <c r="R143" s="97">
        <f t="shared" si="16"/>
        <v>238</v>
      </c>
      <c r="S143" s="18">
        <f t="shared" si="17"/>
        <v>-774690000</v>
      </c>
      <c r="T143" s="97"/>
      <c r="V143" t="s">
        <v>25</v>
      </c>
    </row>
    <row r="144" spans="1:23">
      <c r="A144" s="94">
        <v>4</v>
      </c>
      <c r="B144" s="94">
        <f t="shared" si="24"/>
        <v>1.1187491801369074</v>
      </c>
      <c r="C144" s="94">
        <f t="shared" si="25"/>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 t="shared" si="24"/>
        <v>1.1505775943118024</v>
      </c>
      <c r="C145" s="94">
        <f t="shared" si="25"/>
        <v>3999.4077178278253</v>
      </c>
      <c r="E145" s="94"/>
      <c r="F145" s="94"/>
      <c r="G145" s="94"/>
      <c r="H145" s="94"/>
      <c r="I145" s="94"/>
      <c r="J145" s="94"/>
      <c r="K145" s="94"/>
      <c r="L145" s="94"/>
      <c r="O145" s="97" t="s">
        <v>6439</v>
      </c>
      <c r="P145" s="18">
        <v>473628</v>
      </c>
      <c r="Q145" s="97">
        <v>2</v>
      </c>
      <c r="R145" s="97">
        <f t="shared" ref="R145:R147" si="26">Q145+R146</f>
        <v>210</v>
      </c>
      <c r="S145" s="18">
        <f t="shared" ref="S145:S147" si="27">P145*R145</f>
        <v>99461880</v>
      </c>
      <c r="T145" s="97" t="s">
        <v>6440</v>
      </c>
    </row>
    <row r="146" spans="1:25">
      <c r="A146" s="94">
        <v>6</v>
      </c>
      <c r="B146" s="94">
        <f t="shared" si="24"/>
        <v>1.1833115268699732</v>
      </c>
      <c r="C146" s="94">
        <f t="shared" si="25"/>
        <v>4113.1908674000269</v>
      </c>
      <c r="E146" s="94"/>
      <c r="F146" s="94"/>
      <c r="G146" s="94"/>
      <c r="H146" s="94"/>
      <c r="I146" s="94"/>
      <c r="J146" s="94"/>
      <c r="K146" s="94"/>
      <c r="L146" s="94"/>
      <c r="O146" s="97" t="s">
        <v>6441</v>
      </c>
      <c r="P146" s="18">
        <v>-473628</v>
      </c>
      <c r="Q146" s="97">
        <v>1</v>
      </c>
      <c r="R146" s="97">
        <f t="shared" si="26"/>
        <v>208</v>
      </c>
      <c r="S146" s="18">
        <f t="shared" si="27"/>
        <v>-98514624</v>
      </c>
      <c r="T146" s="97"/>
    </row>
    <row r="147" spans="1:25">
      <c r="A147" s="94">
        <v>7</v>
      </c>
      <c r="B147" s="94">
        <f t="shared" si="24"/>
        <v>1.216976739809424</v>
      </c>
      <c r="C147" s="94">
        <f t="shared" si="25"/>
        <v>4230.2111475775582</v>
      </c>
      <c r="E147" s="94"/>
      <c r="F147" s="94"/>
      <c r="G147" s="94"/>
      <c r="H147" s="94"/>
      <c r="I147" s="94"/>
      <c r="J147" s="94"/>
      <c r="K147" s="94"/>
      <c r="L147" s="94"/>
      <c r="M147" s="94"/>
      <c r="O147" s="97" t="s">
        <v>6443</v>
      </c>
      <c r="P147" s="18">
        <v>-6000000</v>
      </c>
      <c r="Q147" s="97">
        <v>3</v>
      </c>
      <c r="R147" s="97">
        <f t="shared" si="26"/>
        <v>207</v>
      </c>
      <c r="S147" s="18">
        <f t="shared" si="27"/>
        <v>-1242000000</v>
      </c>
      <c r="T147" s="97"/>
    </row>
    <row r="148" spans="1:25">
      <c r="A148" s="94">
        <v>8</v>
      </c>
      <c r="B148" s="94">
        <f t="shared" si="24"/>
        <v>1.2515997280570021</v>
      </c>
      <c r="C148" s="94">
        <f t="shared" si="25"/>
        <v>4350.5606547261405</v>
      </c>
      <c r="E148" s="94"/>
      <c r="F148" s="94"/>
      <c r="G148" s="94"/>
      <c r="H148" s="94"/>
      <c r="I148" s="94"/>
      <c r="J148" s="94"/>
      <c r="K148" s="94"/>
      <c r="L148" s="94"/>
      <c r="M148" s="94"/>
      <c r="O148" s="97" t="s">
        <v>6445</v>
      </c>
      <c r="P148" s="18">
        <v>-475000</v>
      </c>
      <c r="Q148" s="97">
        <v>1</v>
      </c>
      <c r="R148" s="97">
        <f t="shared" ref="R148:R155" si="28">Q148+R149</f>
        <v>204</v>
      </c>
      <c r="S148" s="18">
        <f t="shared" ref="S148:S155" si="29">P148*R148</f>
        <v>-96900000</v>
      </c>
      <c r="T148" s="97" t="s">
        <v>6446</v>
      </c>
      <c r="W148" t="s">
        <v>25</v>
      </c>
    </row>
    <row r="149" spans="1:25">
      <c r="A149" s="94">
        <v>9</v>
      </c>
      <c r="B149" s="94">
        <f t="shared" si="24"/>
        <v>1.287207740320224</v>
      </c>
      <c r="C149" s="94">
        <f t="shared" si="25"/>
        <v>4474.3341053530994</v>
      </c>
      <c r="E149" s="94"/>
      <c r="F149" s="94"/>
      <c r="G149" s="94"/>
      <c r="H149" s="94"/>
      <c r="I149" s="94"/>
      <c r="J149" s="94"/>
      <c r="K149" s="94"/>
      <c r="L149" s="94"/>
      <c r="M149" s="94"/>
      <c r="O149" s="97" t="s">
        <v>6447</v>
      </c>
      <c r="P149" s="18">
        <v>-837000</v>
      </c>
      <c r="Q149" s="97">
        <v>1</v>
      </c>
      <c r="R149" s="97">
        <f t="shared" si="28"/>
        <v>203</v>
      </c>
      <c r="S149" s="18">
        <f t="shared" si="29"/>
        <v>-169911000</v>
      </c>
      <c r="T149" s="97" t="s">
        <v>6446</v>
      </c>
    </row>
    <row r="150" spans="1:25">
      <c r="A150" s="94">
        <v>10</v>
      </c>
      <c r="B150" s="94">
        <f t="shared" si="24"/>
        <v>1.3238288005323344</v>
      </c>
      <c r="C150" s="94">
        <f t="shared" si="25"/>
        <v>4601.6289106503955</v>
      </c>
      <c r="E150" s="94"/>
      <c r="F150" s="94"/>
      <c r="G150" s="94"/>
      <c r="H150" s="94"/>
      <c r="I150" s="94"/>
      <c r="J150" s="94"/>
      <c r="K150" s="94"/>
      <c r="L150" s="94"/>
      <c r="M150" s="94"/>
      <c r="O150" s="97" t="s">
        <v>6448</v>
      </c>
      <c r="P150" s="18">
        <v>-493000</v>
      </c>
      <c r="Q150" s="97">
        <v>1</v>
      </c>
      <c r="R150" s="97">
        <f t="shared" si="28"/>
        <v>202</v>
      </c>
      <c r="S150" s="18">
        <f t="shared" si="29"/>
        <v>-99586000</v>
      </c>
      <c r="T150" s="97" t="s">
        <v>6446</v>
      </c>
    </row>
    <row r="151" spans="1:25">
      <c r="A151" s="94">
        <v>11</v>
      </c>
      <c r="B151" s="94">
        <f t="shared" si="24"/>
        <v>1.3614917299074794</v>
      </c>
      <c r="C151" s="94">
        <f t="shared" si="25"/>
        <v>4732.5452531583996</v>
      </c>
      <c r="E151" s="94"/>
      <c r="F151" s="94"/>
      <c r="G151" s="94"/>
      <c r="H151" s="94"/>
      <c r="I151" s="94"/>
      <c r="J151" s="94"/>
      <c r="K151" s="94"/>
      <c r="L151" s="94"/>
      <c r="M151" s="94"/>
      <c r="O151" s="37" t="s">
        <v>6449</v>
      </c>
      <c r="P151" s="18">
        <v>54000</v>
      </c>
      <c r="Q151" s="97">
        <v>3</v>
      </c>
      <c r="R151" s="97">
        <f t="shared" si="28"/>
        <v>201</v>
      </c>
      <c r="S151" s="18">
        <f t="shared" si="29"/>
        <v>10854000</v>
      </c>
      <c r="T151" s="97" t="s">
        <v>6450</v>
      </c>
      <c r="Y151" t="s">
        <v>25</v>
      </c>
    </row>
    <row r="152" spans="1:25">
      <c r="A152" s="94">
        <v>12</v>
      </c>
      <c r="B152" s="94">
        <f t="shared" si="24"/>
        <v>1.4002261696233473</v>
      </c>
      <c r="C152" s="94">
        <f t="shared" si="25"/>
        <v>4867.1861656107567</v>
      </c>
      <c r="E152" s="94"/>
      <c r="F152" s="94"/>
      <c r="G152" s="94"/>
      <c r="H152" s="94"/>
      <c r="I152" s="94"/>
      <c r="J152" s="94"/>
      <c r="K152" s="94"/>
      <c r="L152" s="94"/>
      <c r="M152" s="94"/>
      <c r="O152" s="97" t="s">
        <v>6452</v>
      </c>
      <c r="P152" s="18">
        <v>-400000</v>
      </c>
      <c r="Q152" s="97">
        <v>2</v>
      </c>
      <c r="R152" s="97">
        <f t="shared" si="28"/>
        <v>198</v>
      </c>
      <c r="S152" s="18">
        <f t="shared" si="29"/>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8"/>
        <v>196</v>
      </c>
      <c r="S153" s="18">
        <f t="shared" si="29"/>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8"/>
        <v>187</v>
      </c>
      <c r="S154" s="18">
        <f t="shared" si="29"/>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8"/>
        <v>175</v>
      </c>
      <c r="S155" s="18">
        <f t="shared" si="29"/>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30">Q156+R157</f>
        <v>174</v>
      </c>
      <c r="S156" s="18">
        <f t="shared" ref="S156:S158" si="31">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30"/>
        <v>155</v>
      </c>
      <c r="S157" s="18">
        <f t="shared" si="31"/>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30"/>
        <v>155</v>
      </c>
      <c r="S158" s="18">
        <f t="shared" si="31"/>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2">B159*I159/$M$159</f>
        <v>263.23918029200001</v>
      </c>
      <c r="K159" s="415">
        <f>I159</f>
        <v>2255</v>
      </c>
      <c r="L159" s="415">
        <f t="shared" ref="L159:L172" si="33">B159*K159/$M$159</f>
        <v>263.23918029200001</v>
      </c>
      <c r="M159" s="416">
        <v>30000000000</v>
      </c>
      <c r="O159" s="97" t="s">
        <v>6616</v>
      </c>
      <c r="P159" s="18">
        <v>600000</v>
      </c>
      <c r="Q159" s="97">
        <v>5</v>
      </c>
      <c r="R159" s="97">
        <f t="shared" ref="R159:R163" si="34">Q159+R160</f>
        <v>144</v>
      </c>
      <c r="S159" s="18">
        <f t="shared" ref="S159:S163" si="35">P159*R159</f>
        <v>86400000</v>
      </c>
      <c r="T159" s="97"/>
    </row>
    <row r="160" spans="1:25" ht="23.25">
      <c r="A160" s="417" t="s">
        <v>4216</v>
      </c>
      <c r="B160" s="418">
        <v>3356161798</v>
      </c>
      <c r="C160" s="418">
        <v>340</v>
      </c>
      <c r="D160" s="418">
        <f t="shared" ref="D160:D171" si="36">B160*C160/$M$159</f>
        <v>38.036500377333333</v>
      </c>
      <c r="E160" s="421">
        <v>230</v>
      </c>
      <c r="F160" s="417">
        <f t="shared" ref="F160:F171" si="37">B160*E160/$M$159</f>
        <v>25.730573784666667</v>
      </c>
      <c r="G160" s="417">
        <v>200</v>
      </c>
      <c r="H160" s="417">
        <f t="shared" ref="H160:H171" si="38">B160*G160/$M$159</f>
        <v>22.374411986666665</v>
      </c>
      <c r="I160" s="417">
        <v>1250</v>
      </c>
      <c r="J160" s="417">
        <f t="shared" si="32"/>
        <v>139.84007491666668</v>
      </c>
      <c r="K160" s="429">
        <v>3300</v>
      </c>
      <c r="L160" s="422">
        <f t="shared" si="33"/>
        <v>369.17779777999999</v>
      </c>
      <c r="M160" s="94"/>
      <c r="O160" s="97" t="s">
        <v>6622</v>
      </c>
      <c r="P160" s="18">
        <v>-600000</v>
      </c>
      <c r="Q160" s="97">
        <v>30</v>
      </c>
      <c r="R160" s="97">
        <f t="shared" si="34"/>
        <v>139</v>
      </c>
      <c r="S160" s="18">
        <f t="shared" si="35"/>
        <v>-83400000</v>
      </c>
      <c r="T160" s="97"/>
    </row>
    <row r="161" spans="1:25" ht="15.75">
      <c r="A161" s="415" t="s">
        <v>4509</v>
      </c>
      <c r="B161" s="416">
        <v>2003857980</v>
      </c>
      <c r="C161" s="416">
        <v>280</v>
      </c>
      <c r="D161" s="416">
        <f t="shared" si="36"/>
        <v>18.702674479999999</v>
      </c>
      <c r="E161" s="423">
        <v>130</v>
      </c>
      <c r="F161" s="415">
        <f t="shared" si="37"/>
        <v>8.6833845800000002</v>
      </c>
      <c r="G161" s="415">
        <v>28</v>
      </c>
      <c r="H161" s="415">
        <f t="shared" si="38"/>
        <v>1.8702674480000001</v>
      </c>
      <c r="I161" s="415">
        <v>1309</v>
      </c>
      <c r="J161" s="415">
        <f t="shared" si="32"/>
        <v>87.435003194000004</v>
      </c>
      <c r="K161" s="415">
        <f>I161</f>
        <v>1309</v>
      </c>
      <c r="L161" s="415">
        <f t="shared" si="33"/>
        <v>87.435003194000004</v>
      </c>
      <c r="M161" s="94"/>
      <c r="O161" s="97" t="s">
        <v>6941</v>
      </c>
      <c r="P161" s="18">
        <v>650000</v>
      </c>
      <c r="Q161" s="97">
        <v>4</v>
      </c>
      <c r="R161" s="97">
        <f t="shared" si="34"/>
        <v>109</v>
      </c>
      <c r="S161" s="18">
        <f t="shared" si="35"/>
        <v>70850000</v>
      </c>
      <c r="T161" s="97"/>
      <c r="X161" t="s">
        <v>25</v>
      </c>
    </row>
    <row r="162" spans="1:25" ht="15.75">
      <c r="A162" s="417" t="s">
        <v>5787</v>
      </c>
      <c r="B162" s="418">
        <v>499499998</v>
      </c>
      <c r="C162" s="418">
        <v>450</v>
      </c>
      <c r="D162" s="418">
        <f t="shared" si="36"/>
        <v>7.4924999699999999</v>
      </c>
      <c r="E162" s="421">
        <v>308</v>
      </c>
      <c r="F162" s="417">
        <f t="shared" si="37"/>
        <v>5.1281999794666664</v>
      </c>
      <c r="G162" s="417">
        <v>213</v>
      </c>
      <c r="H162" s="417">
        <f t="shared" si="38"/>
        <v>3.5464499857999998</v>
      </c>
      <c r="I162" s="417">
        <v>2819</v>
      </c>
      <c r="J162" s="417">
        <f t="shared" si="32"/>
        <v>46.936349812066666</v>
      </c>
      <c r="K162" s="415">
        <f t="shared" ref="K162:K171" si="39">I162</f>
        <v>2819</v>
      </c>
      <c r="L162" s="417">
        <f t="shared" si="33"/>
        <v>46.936349812066666</v>
      </c>
      <c r="M162" s="94"/>
      <c r="O162" s="97" t="s">
        <v>6944</v>
      </c>
      <c r="P162" s="18">
        <v>-650000</v>
      </c>
      <c r="Q162" s="97">
        <v>15</v>
      </c>
      <c r="R162" s="97">
        <f t="shared" si="34"/>
        <v>105</v>
      </c>
      <c r="S162" s="18">
        <f t="shared" si="35"/>
        <v>-68250000</v>
      </c>
      <c r="T162" s="97"/>
    </row>
    <row r="163" spans="1:25" ht="15.75">
      <c r="A163" s="415" t="s">
        <v>6467</v>
      </c>
      <c r="B163" s="416">
        <v>4161561525</v>
      </c>
      <c r="C163" s="416">
        <v>80</v>
      </c>
      <c r="D163" s="416">
        <f t="shared" si="36"/>
        <v>11.0974974</v>
      </c>
      <c r="E163" s="423">
        <v>66</v>
      </c>
      <c r="F163" s="415">
        <f t="shared" si="37"/>
        <v>9.1554353549999998</v>
      </c>
      <c r="G163" s="415">
        <v>6.6</v>
      </c>
      <c r="H163" s="415">
        <f t="shared" si="38"/>
        <v>0.91554353550000001</v>
      </c>
      <c r="I163" s="415">
        <v>332</v>
      </c>
      <c r="J163" s="415">
        <f t="shared" si="32"/>
        <v>46.054614209999997</v>
      </c>
      <c r="K163" s="415">
        <f t="shared" si="39"/>
        <v>332</v>
      </c>
      <c r="L163" s="415">
        <f t="shared" si="33"/>
        <v>46.054614209999997</v>
      </c>
      <c r="M163" s="94"/>
      <c r="O163" s="97" t="s">
        <v>6951</v>
      </c>
      <c r="P163" s="18">
        <v>700000</v>
      </c>
      <c r="Q163" s="97">
        <v>6</v>
      </c>
      <c r="R163" s="97">
        <f t="shared" si="34"/>
        <v>90</v>
      </c>
      <c r="S163" s="18">
        <f t="shared" si="35"/>
        <v>63000000</v>
      </c>
      <c r="T163" s="97"/>
      <c r="Y163" t="s">
        <v>25</v>
      </c>
    </row>
    <row r="164" spans="1:25" ht="15.75">
      <c r="A164" s="417" t="s">
        <v>6466</v>
      </c>
      <c r="B164" s="418">
        <v>5610540000</v>
      </c>
      <c r="C164" s="418">
        <v>60</v>
      </c>
      <c r="D164" s="418">
        <f t="shared" si="36"/>
        <v>11.221080000000001</v>
      </c>
      <c r="E164" s="421">
        <v>58</v>
      </c>
      <c r="F164" s="417">
        <f t="shared" si="37"/>
        <v>10.847044</v>
      </c>
      <c r="G164" s="417">
        <v>15</v>
      </c>
      <c r="H164" s="417">
        <f t="shared" si="38"/>
        <v>2.8052700000000002</v>
      </c>
      <c r="I164" s="417">
        <v>216</v>
      </c>
      <c r="J164" s="417">
        <f t="shared" si="32"/>
        <v>40.395887999999999</v>
      </c>
      <c r="K164" s="415">
        <f t="shared" si="39"/>
        <v>216</v>
      </c>
      <c r="L164" s="417">
        <f>B164*K164/$M$159</f>
        <v>40.395887999999999</v>
      </c>
      <c r="M164" s="94"/>
      <c r="O164" s="97" t="s">
        <v>6953</v>
      </c>
      <c r="P164" s="18">
        <v>-700000</v>
      </c>
      <c r="Q164" s="97">
        <v>22</v>
      </c>
      <c r="R164" s="97">
        <f t="shared" ref="R164:R172" si="40">Q164+R165</f>
        <v>84</v>
      </c>
      <c r="S164" s="18">
        <f t="shared" ref="S164:S172" si="41">P164*R164</f>
        <v>-58800000</v>
      </c>
      <c r="T164" s="97"/>
    </row>
    <row r="165" spans="1:25" ht="15.75">
      <c r="A165" s="415" t="s">
        <v>4520</v>
      </c>
      <c r="B165" s="416">
        <v>978026662</v>
      </c>
      <c r="C165" s="416">
        <v>140</v>
      </c>
      <c r="D165" s="416">
        <f t="shared" si="36"/>
        <v>4.5641244226666666</v>
      </c>
      <c r="E165" s="423">
        <v>50</v>
      </c>
      <c r="F165" s="415">
        <f t="shared" si="37"/>
        <v>1.6300444366666667</v>
      </c>
      <c r="G165" s="415">
        <v>50</v>
      </c>
      <c r="H165" s="415">
        <f t="shared" si="38"/>
        <v>1.6300444366666667</v>
      </c>
      <c r="I165" s="415">
        <v>648</v>
      </c>
      <c r="J165" s="415">
        <f t="shared" si="32"/>
        <v>21.125375899200002</v>
      </c>
      <c r="K165" s="415">
        <f t="shared" si="39"/>
        <v>648</v>
      </c>
      <c r="L165" s="415">
        <f t="shared" si="33"/>
        <v>21.125375899200002</v>
      </c>
      <c r="M165" s="94"/>
      <c r="O165" s="97" t="s">
        <v>7034</v>
      </c>
      <c r="P165" s="18">
        <v>1000000</v>
      </c>
      <c r="Q165" s="97">
        <v>7</v>
      </c>
      <c r="R165" s="97">
        <f t="shared" si="40"/>
        <v>62</v>
      </c>
      <c r="S165" s="18">
        <f t="shared" si="41"/>
        <v>62000000</v>
      </c>
      <c r="T165" s="97"/>
    </row>
    <row r="166" spans="1:25" ht="15.75">
      <c r="A166" s="415" t="s">
        <v>6468</v>
      </c>
      <c r="B166" s="416">
        <v>337500000</v>
      </c>
      <c r="C166" s="416">
        <v>280</v>
      </c>
      <c r="D166" s="416">
        <f t="shared" si="36"/>
        <v>3.15</v>
      </c>
      <c r="E166" s="423">
        <v>219.8</v>
      </c>
      <c r="F166" s="415">
        <f t="shared" si="37"/>
        <v>2.47275</v>
      </c>
      <c r="G166" s="415">
        <v>237</v>
      </c>
      <c r="H166" s="415">
        <f t="shared" si="38"/>
        <v>2.6662499999999998</v>
      </c>
      <c r="I166" s="415">
        <v>1641</v>
      </c>
      <c r="J166" s="415">
        <f t="shared" si="32"/>
        <v>18.46125</v>
      </c>
      <c r="K166" s="415">
        <f t="shared" si="39"/>
        <v>1641</v>
      </c>
      <c r="L166" s="415">
        <f t="shared" si="33"/>
        <v>18.46125</v>
      </c>
      <c r="M166" s="94"/>
      <c r="O166" s="97" t="s">
        <v>7050</v>
      </c>
      <c r="P166" s="18">
        <v>-1000000</v>
      </c>
      <c r="Q166" s="97">
        <v>33</v>
      </c>
      <c r="R166" s="97">
        <f t="shared" si="40"/>
        <v>55</v>
      </c>
      <c r="S166" s="18">
        <f t="shared" si="41"/>
        <v>-55000000</v>
      </c>
      <c r="T166" s="97"/>
      <c r="X166" t="s">
        <v>25</v>
      </c>
    </row>
    <row r="167" spans="1:25" ht="15.75">
      <c r="A167" s="417" t="s">
        <v>5794</v>
      </c>
      <c r="B167" s="418">
        <v>35697979</v>
      </c>
      <c r="C167" s="418">
        <v>300</v>
      </c>
      <c r="D167" s="418">
        <f t="shared" si="36"/>
        <v>0.35697979000000002</v>
      </c>
      <c r="E167" s="421">
        <v>223</v>
      </c>
      <c r="F167" s="417">
        <f t="shared" si="37"/>
        <v>0.26535497723333334</v>
      </c>
      <c r="G167" s="417">
        <v>80</v>
      </c>
      <c r="H167" s="417">
        <f t="shared" si="38"/>
        <v>9.5194610666666665E-2</v>
      </c>
      <c r="I167" s="417">
        <v>1607</v>
      </c>
      <c r="J167" s="417">
        <f t="shared" si="32"/>
        <v>1.9122217417666667</v>
      </c>
      <c r="K167" s="415">
        <f t="shared" si="39"/>
        <v>1607</v>
      </c>
      <c r="L167" s="417">
        <f t="shared" si="33"/>
        <v>1.9122217417666667</v>
      </c>
      <c r="M167" s="94"/>
      <c r="O167" s="97" t="s">
        <v>7101</v>
      </c>
      <c r="P167" s="18">
        <v>2000000</v>
      </c>
      <c r="Q167" s="97">
        <v>21</v>
      </c>
      <c r="R167" s="97">
        <f t="shared" si="40"/>
        <v>22</v>
      </c>
      <c r="S167" s="18">
        <f t="shared" si="41"/>
        <v>44000000</v>
      </c>
      <c r="T167" s="97"/>
    </row>
    <row r="168" spans="1:25" ht="15.75">
      <c r="A168" s="415" t="s">
        <v>5957</v>
      </c>
      <c r="B168" s="416">
        <v>158220192</v>
      </c>
      <c r="C168" s="416">
        <v>800</v>
      </c>
      <c r="D168" s="416">
        <f t="shared" si="36"/>
        <v>4.2192051199999998</v>
      </c>
      <c r="E168" s="423">
        <v>578</v>
      </c>
      <c r="F168" s="415">
        <f t="shared" si="37"/>
        <v>3.0483756992000002</v>
      </c>
      <c r="G168" s="415">
        <v>300</v>
      </c>
      <c r="H168" s="415">
        <f t="shared" si="38"/>
        <v>1.5822019199999999</v>
      </c>
      <c r="I168" s="415">
        <v>1453</v>
      </c>
      <c r="J168" s="415">
        <f t="shared" si="32"/>
        <v>7.6631312991999998</v>
      </c>
      <c r="K168" s="415">
        <f t="shared" si="39"/>
        <v>1453</v>
      </c>
      <c r="L168" s="415">
        <f t="shared" si="33"/>
        <v>7.6631312991999998</v>
      </c>
      <c r="M168" s="94"/>
      <c r="N168" s="94"/>
      <c r="O168" s="97" t="s">
        <v>7129</v>
      </c>
      <c r="P168" s="18">
        <v>-2000000</v>
      </c>
      <c r="Q168" s="97">
        <v>1</v>
      </c>
      <c r="R168" s="97">
        <f t="shared" si="40"/>
        <v>1</v>
      </c>
      <c r="S168" s="18">
        <f t="shared" si="41"/>
        <v>-2000000</v>
      </c>
      <c r="T168" s="97"/>
    </row>
    <row r="169" spans="1:25" ht="15.75">
      <c r="A169" s="417" t="s">
        <v>4371</v>
      </c>
      <c r="B169" s="418">
        <v>101805550</v>
      </c>
      <c r="C169" s="418">
        <v>800</v>
      </c>
      <c r="D169" s="418">
        <f t="shared" si="36"/>
        <v>2.7148146666666668</v>
      </c>
      <c r="E169" s="421">
        <v>424</v>
      </c>
      <c r="F169" s="417">
        <f t="shared" si="37"/>
        <v>1.4388517733333333</v>
      </c>
      <c r="G169" s="417">
        <v>370</v>
      </c>
      <c r="H169" s="417">
        <f t="shared" si="38"/>
        <v>1.2556017833333333</v>
      </c>
      <c r="I169" s="417">
        <v>4589</v>
      </c>
      <c r="J169" s="417">
        <f t="shared" si="32"/>
        <v>15.572855631666666</v>
      </c>
      <c r="K169" s="415">
        <f t="shared" si="39"/>
        <v>4589</v>
      </c>
      <c r="L169" s="417">
        <f t="shared" si="33"/>
        <v>15.572855631666666</v>
      </c>
      <c r="M169" s="94"/>
      <c r="N169" s="94"/>
      <c r="O169" s="97"/>
      <c r="P169" s="18"/>
      <c r="Q169" s="97"/>
      <c r="R169" s="97">
        <f t="shared" si="40"/>
        <v>0</v>
      </c>
      <c r="S169" s="18">
        <f t="shared" si="41"/>
        <v>0</v>
      </c>
      <c r="T169" s="97"/>
    </row>
    <row r="170" spans="1:25" ht="15.75">
      <c r="A170" s="415" t="s">
        <v>6923</v>
      </c>
      <c r="B170" s="416">
        <v>1</v>
      </c>
      <c r="C170" s="416">
        <v>1000000000000</v>
      </c>
      <c r="D170" s="416">
        <f t="shared" si="36"/>
        <v>33.333333333333336</v>
      </c>
      <c r="E170" s="416">
        <v>600000000000</v>
      </c>
      <c r="F170" s="415">
        <f t="shared" si="37"/>
        <v>20</v>
      </c>
      <c r="G170" s="416">
        <v>400000000000</v>
      </c>
      <c r="H170" s="415">
        <f t="shared" si="38"/>
        <v>13.333333333333334</v>
      </c>
      <c r="I170" s="415">
        <v>6000000000000</v>
      </c>
      <c r="J170" s="415">
        <f t="shared" si="32"/>
        <v>200</v>
      </c>
      <c r="K170" s="415">
        <f t="shared" si="39"/>
        <v>6000000000000</v>
      </c>
      <c r="L170" s="415">
        <f t="shared" si="33"/>
        <v>200</v>
      </c>
      <c r="M170" s="94"/>
      <c r="N170" s="94"/>
      <c r="O170" s="97"/>
      <c r="P170" s="18"/>
      <c r="Q170" s="97"/>
      <c r="R170" s="97">
        <f t="shared" si="40"/>
        <v>0</v>
      </c>
      <c r="S170" s="18">
        <f t="shared" si="41"/>
        <v>0</v>
      </c>
      <c r="T170" s="97"/>
    </row>
    <row r="171" spans="1:25" ht="15.75">
      <c r="A171" s="417" t="s">
        <v>6469</v>
      </c>
      <c r="B171" s="418">
        <v>1</v>
      </c>
      <c r="C171" s="418">
        <v>750000000000</v>
      </c>
      <c r="D171" s="418">
        <f t="shared" si="36"/>
        <v>25</v>
      </c>
      <c r="E171" s="418">
        <v>500000000000</v>
      </c>
      <c r="F171" s="417">
        <f t="shared" si="37"/>
        <v>16.666666666666668</v>
      </c>
      <c r="G171" s="418">
        <v>300000000000</v>
      </c>
      <c r="H171" s="417">
        <f t="shared" si="38"/>
        <v>10</v>
      </c>
      <c r="I171" s="417">
        <v>4000000000000</v>
      </c>
      <c r="J171" s="417">
        <f t="shared" si="32"/>
        <v>133.33333333333334</v>
      </c>
      <c r="K171" s="415">
        <f t="shared" si="39"/>
        <v>4000000000000</v>
      </c>
      <c r="L171" s="417">
        <f t="shared" si="33"/>
        <v>133.33333333333334</v>
      </c>
      <c r="M171" s="94"/>
      <c r="N171" s="94"/>
      <c r="O171" s="97"/>
      <c r="P171" s="18"/>
      <c r="Q171" s="97"/>
      <c r="R171" s="97">
        <f t="shared" si="40"/>
        <v>0</v>
      </c>
      <c r="S171" s="18">
        <f t="shared" si="41"/>
        <v>0</v>
      </c>
      <c r="T171" s="97"/>
    </row>
    <row r="172" spans="1:25" ht="15.75">
      <c r="A172" s="419"/>
      <c r="B172" s="412"/>
      <c r="C172" s="412"/>
      <c r="D172" s="412"/>
      <c r="E172" s="419"/>
      <c r="F172" s="419"/>
      <c r="G172" s="419"/>
      <c r="H172" s="419"/>
      <c r="I172" s="419"/>
      <c r="J172" s="419"/>
      <c r="K172" s="419"/>
      <c r="L172" s="415">
        <f t="shared" si="33"/>
        <v>0</v>
      </c>
      <c r="M172" s="94"/>
      <c r="N172" s="94"/>
      <c r="O172" s="97"/>
      <c r="P172" s="18"/>
      <c r="Q172" s="97"/>
      <c r="R172" s="97">
        <f t="shared" si="40"/>
        <v>0</v>
      </c>
      <c r="S172" s="18">
        <f t="shared" si="41"/>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7137</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700</v>
      </c>
      <c r="F180" s="415">
        <f>B180*E180/$K$180</f>
        <v>8.4234162969325155</v>
      </c>
      <c r="G180" s="415">
        <v>650</v>
      </c>
      <c r="H180" s="415">
        <f>B180*G180/$K$180</f>
        <v>7.8217437042944784</v>
      </c>
      <c r="I180" s="415">
        <v>4383</v>
      </c>
      <c r="J180" s="415">
        <f>B180*I180/$K$180</f>
        <v>52.742619470650304</v>
      </c>
      <c r="K180" s="416">
        <v>81500000000</v>
      </c>
      <c r="P180" t="s">
        <v>25</v>
      </c>
      <c r="R180" t="s">
        <v>25</v>
      </c>
    </row>
    <row r="181" spans="1:21" ht="15.75">
      <c r="A181" s="417" t="s">
        <v>4476</v>
      </c>
      <c r="B181" s="418">
        <v>478789262</v>
      </c>
      <c r="C181" s="418">
        <v>7000</v>
      </c>
      <c r="D181" s="416">
        <f t="shared" ref="D181:D199" si="42">B181*C181/$K$180</f>
        <v>41.123004098159512</v>
      </c>
      <c r="E181" s="421">
        <v>5800</v>
      </c>
      <c r="F181" s="415">
        <f t="shared" ref="F181:F198" si="43">B181*E181/$K$180</f>
        <v>34.073346252760736</v>
      </c>
      <c r="G181" s="417">
        <v>5600</v>
      </c>
      <c r="H181" s="415">
        <f t="shared" ref="H181:H199" si="44">B181*G181/$K$180</f>
        <v>32.89840327852761</v>
      </c>
      <c r="I181" s="417">
        <v>37780</v>
      </c>
      <c r="J181" s="415">
        <f t="shared" ref="J181:J199" si="45">B181*I181/$K$180</f>
        <v>221.94672783263803</v>
      </c>
      <c r="K181" s="414"/>
      <c r="R181" t="s">
        <v>25</v>
      </c>
      <c r="U181" s="94"/>
    </row>
    <row r="182" spans="1:21" ht="15.75">
      <c r="A182" s="415" t="s">
        <v>6937</v>
      </c>
      <c r="B182" s="416">
        <v>1226605805</v>
      </c>
      <c r="C182" s="416">
        <v>150</v>
      </c>
      <c r="D182" s="416">
        <f t="shared" si="42"/>
        <v>2.2575566963190186</v>
      </c>
      <c r="E182" s="423">
        <v>120</v>
      </c>
      <c r="F182" s="415">
        <f t="shared" si="43"/>
        <v>1.8060453570552146</v>
      </c>
      <c r="G182" s="415">
        <v>5</v>
      </c>
      <c r="H182" s="415">
        <f t="shared" si="44"/>
        <v>7.525188987730061E-2</v>
      </c>
      <c r="I182" s="415">
        <v>1242</v>
      </c>
      <c r="J182" s="415">
        <f t="shared" si="45"/>
        <v>18.692569445521471</v>
      </c>
      <c r="K182" s="414"/>
      <c r="O182" t="s">
        <v>25</v>
      </c>
      <c r="U182" s="94"/>
    </row>
    <row r="183" spans="1:21" ht="15.75">
      <c r="A183" s="417" t="s">
        <v>6936</v>
      </c>
      <c r="B183" s="418">
        <v>2939645030</v>
      </c>
      <c r="C183" s="418">
        <v>10</v>
      </c>
      <c r="D183" s="416">
        <f t="shared" si="42"/>
        <v>0.36069264171779142</v>
      </c>
      <c r="E183" s="421">
        <v>10</v>
      </c>
      <c r="F183" s="415">
        <f t="shared" si="43"/>
        <v>0.36069264171779142</v>
      </c>
      <c r="G183" s="417">
        <v>1</v>
      </c>
      <c r="H183" s="415">
        <f t="shared" si="44"/>
        <v>3.6069264171779143E-2</v>
      </c>
      <c r="I183" s="417">
        <v>473</v>
      </c>
      <c r="J183" s="415">
        <f t="shared" si="45"/>
        <v>17.060761953251532</v>
      </c>
      <c r="K183" s="414"/>
      <c r="T183" t="s">
        <v>25</v>
      </c>
      <c r="U183" s="94"/>
    </row>
    <row r="184" spans="1:21" ht="15.75">
      <c r="A184" s="415" t="s">
        <v>6939</v>
      </c>
      <c r="B184" s="416">
        <v>1270296458</v>
      </c>
      <c r="C184" s="416">
        <v>300</v>
      </c>
      <c r="D184" s="416">
        <f t="shared" si="42"/>
        <v>4.6759378822085891</v>
      </c>
      <c r="E184" s="423">
        <v>300</v>
      </c>
      <c r="F184" s="415">
        <f t="shared" si="43"/>
        <v>4.6759378822085891</v>
      </c>
      <c r="G184" s="415">
        <v>270</v>
      </c>
      <c r="H184" s="415">
        <f t="shared" si="44"/>
        <v>4.2083440939877299</v>
      </c>
      <c r="I184" s="415">
        <v>2402</v>
      </c>
      <c r="J184" s="415">
        <f t="shared" si="45"/>
        <v>37.438675976883438</v>
      </c>
      <c r="K184" s="414"/>
      <c r="R184" t="s">
        <v>25</v>
      </c>
      <c r="U184" s="94"/>
    </row>
    <row r="185" spans="1:21" ht="15.75">
      <c r="A185" s="417" t="s">
        <v>5797</v>
      </c>
      <c r="B185" s="418">
        <v>1336082292</v>
      </c>
      <c r="C185" s="418">
        <v>3000</v>
      </c>
      <c r="D185" s="416">
        <f t="shared" si="42"/>
        <v>49.180943263803684</v>
      </c>
      <c r="E185" s="421">
        <v>2500</v>
      </c>
      <c r="F185" s="415">
        <f t="shared" si="43"/>
        <v>40.984119386503068</v>
      </c>
      <c r="G185" s="417">
        <v>2100</v>
      </c>
      <c r="H185" s="415">
        <f t="shared" si="44"/>
        <v>34.426660284662574</v>
      </c>
      <c r="I185" s="417">
        <v>18424</v>
      </c>
      <c r="J185" s="415">
        <f t="shared" si="45"/>
        <v>302.03656623077302</v>
      </c>
      <c r="K185" s="414"/>
      <c r="U185" s="94"/>
    </row>
    <row r="186" spans="1:21" ht="15.75">
      <c r="A186" s="415" t="s">
        <v>4371</v>
      </c>
      <c r="B186" s="416">
        <v>1344540394</v>
      </c>
      <c r="C186" s="416">
        <v>1000</v>
      </c>
      <c r="D186" s="416">
        <f t="shared" si="42"/>
        <v>16.497428147239265</v>
      </c>
      <c r="E186" s="423">
        <v>800</v>
      </c>
      <c r="F186" s="415">
        <f t="shared" si="43"/>
        <v>13.197942517791411</v>
      </c>
      <c r="G186" s="415">
        <v>650</v>
      </c>
      <c r="H186" s="415">
        <f t="shared" si="44"/>
        <v>10.723328295705521</v>
      </c>
      <c r="I186" s="415">
        <v>4330</v>
      </c>
      <c r="J186" s="415">
        <f t="shared" si="45"/>
        <v>71.433863877546017</v>
      </c>
      <c r="K186" s="414"/>
    </row>
    <row r="187" spans="1:21" ht="15.75">
      <c r="A187" s="417" t="s">
        <v>6940</v>
      </c>
      <c r="B187" s="418">
        <v>1200002514</v>
      </c>
      <c r="C187" s="418">
        <v>300</v>
      </c>
      <c r="D187" s="416">
        <f t="shared" si="42"/>
        <v>4.4171871680981596</v>
      </c>
      <c r="E187" s="421">
        <v>300</v>
      </c>
      <c r="F187" s="415">
        <f t="shared" si="43"/>
        <v>4.4171871680981596</v>
      </c>
      <c r="G187" s="417">
        <v>250</v>
      </c>
      <c r="H187" s="415">
        <f t="shared" si="44"/>
        <v>3.6809893067484665</v>
      </c>
      <c r="I187" s="417">
        <v>1897</v>
      </c>
      <c r="J187" s="415">
        <f t="shared" si="45"/>
        <v>27.931346859607363</v>
      </c>
      <c r="K187" s="414"/>
      <c r="Q187" s="94"/>
      <c r="R187" s="94"/>
    </row>
    <row r="188" spans="1:21" ht="15.75">
      <c r="A188" s="415" t="s">
        <v>4477</v>
      </c>
      <c r="B188" s="416">
        <v>1114663695</v>
      </c>
      <c r="C188" s="416">
        <v>800</v>
      </c>
      <c r="D188" s="416">
        <f t="shared" si="42"/>
        <v>10.941484122699386</v>
      </c>
      <c r="E188" s="423">
        <v>650</v>
      </c>
      <c r="F188" s="415">
        <f t="shared" si="43"/>
        <v>8.8899558496932514</v>
      </c>
      <c r="G188" s="415">
        <v>600</v>
      </c>
      <c r="H188" s="415">
        <f t="shared" si="44"/>
        <v>8.2061130920245393</v>
      </c>
      <c r="I188" s="415">
        <v>5020</v>
      </c>
      <c r="J188" s="415">
        <f t="shared" si="45"/>
        <v>68.657812869938653</v>
      </c>
      <c r="K188" s="414"/>
      <c r="Q188" s="94"/>
      <c r="R188" s="94"/>
    </row>
    <row r="189" spans="1:21" ht="15.75">
      <c r="A189" s="417" t="s">
        <v>5761</v>
      </c>
      <c r="B189" s="418">
        <v>2321974047</v>
      </c>
      <c r="C189" s="418">
        <v>900</v>
      </c>
      <c r="D189" s="416">
        <f t="shared" si="42"/>
        <v>25.641431193865031</v>
      </c>
      <c r="E189" s="421">
        <v>700</v>
      </c>
      <c r="F189" s="415">
        <f t="shared" si="43"/>
        <v>19.943335373006136</v>
      </c>
      <c r="G189" s="417">
        <v>650</v>
      </c>
      <c r="H189" s="415">
        <f t="shared" si="44"/>
        <v>18.518811417791412</v>
      </c>
      <c r="I189" s="417">
        <v>4707</v>
      </c>
      <c r="J189" s="415">
        <f t="shared" si="45"/>
        <v>134.10468514391411</v>
      </c>
      <c r="K189" s="414"/>
      <c r="Q189" s="94"/>
      <c r="R189" s="94"/>
      <c r="S189" s="94"/>
      <c r="T189" s="94"/>
    </row>
    <row r="190" spans="1:21" ht="15.75">
      <c r="A190" s="415" t="s">
        <v>4831</v>
      </c>
      <c r="B190" s="416">
        <v>770933241</v>
      </c>
      <c r="C190" s="416">
        <v>1700</v>
      </c>
      <c r="D190" s="416">
        <f t="shared" si="42"/>
        <v>16.080816069938649</v>
      </c>
      <c r="E190" s="423">
        <v>1500</v>
      </c>
      <c r="F190" s="415">
        <f t="shared" si="43"/>
        <v>14.18895535582822</v>
      </c>
      <c r="G190" s="415">
        <v>1300</v>
      </c>
      <c r="H190" s="415">
        <f t="shared" si="44"/>
        <v>12.297094641717791</v>
      </c>
      <c r="I190" s="415">
        <v>8104</v>
      </c>
      <c r="J190" s="415">
        <f t="shared" si="45"/>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4"/>
        <v>16.075863647116563</v>
      </c>
      <c r="I191" s="417">
        <v>1210</v>
      </c>
      <c r="J191" s="415">
        <f t="shared" si="45"/>
        <v>324.19658355018407</v>
      </c>
      <c r="K191" s="414"/>
      <c r="S191" s="94"/>
      <c r="T191" s="94"/>
    </row>
    <row r="192" spans="1:21" ht="15.75">
      <c r="A192" s="415" t="s">
        <v>6930</v>
      </c>
      <c r="B192" s="416">
        <v>880634647</v>
      </c>
      <c r="C192" s="416">
        <v>2000</v>
      </c>
      <c r="D192" s="416">
        <f t="shared" si="42"/>
        <v>21.61066618404908</v>
      </c>
      <c r="E192" s="423">
        <v>1800</v>
      </c>
      <c r="F192" s="415">
        <f t="shared" si="43"/>
        <v>19.449599565644171</v>
      </c>
      <c r="G192" s="415">
        <v>1700</v>
      </c>
      <c r="H192" s="415">
        <f t="shared" si="44"/>
        <v>18.36906625644172</v>
      </c>
      <c r="I192" s="415">
        <v>9067</v>
      </c>
      <c r="J192" s="415">
        <f t="shared" si="45"/>
        <v>97.971955145386502</v>
      </c>
      <c r="K192" s="414"/>
      <c r="S192" s="94"/>
      <c r="T192" s="94"/>
    </row>
    <row r="193" spans="1:20" ht="15.75">
      <c r="A193" s="417" t="s">
        <v>5270</v>
      </c>
      <c r="B193" s="418">
        <v>5351332707</v>
      </c>
      <c r="C193" s="418">
        <v>160</v>
      </c>
      <c r="D193" s="416">
        <f t="shared" si="42"/>
        <v>10.50568384196319</v>
      </c>
      <c r="E193" s="421">
        <v>160</v>
      </c>
      <c r="F193" s="415">
        <f t="shared" si="43"/>
        <v>10.50568384196319</v>
      </c>
      <c r="G193" s="417">
        <v>150</v>
      </c>
      <c r="H193" s="415">
        <f t="shared" si="44"/>
        <v>9.8490786018404908</v>
      </c>
      <c r="I193" s="417">
        <v>941</v>
      </c>
      <c r="J193" s="415">
        <f t="shared" si="45"/>
        <v>61.786553095546012</v>
      </c>
      <c r="K193" s="414" t="s">
        <v>25</v>
      </c>
      <c r="S193" s="94"/>
      <c r="T193" s="94"/>
    </row>
    <row r="194" spans="1:20" ht="15.75">
      <c r="A194" s="415" t="s">
        <v>6931</v>
      </c>
      <c r="B194" s="416">
        <v>1376998000</v>
      </c>
      <c r="C194" s="416">
        <v>2000</v>
      </c>
      <c r="D194" s="416">
        <f t="shared" si="42"/>
        <v>33.791361963190184</v>
      </c>
      <c r="E194" s="423">
        <v>1700</v>
      </c>
      <c r="F194" s="415">
        <f t="shared" si="43"/>
        <v>28.722657668711655</v>
      </c>
      <c r="G194" s="415">
        <v>1600</v>
      </c>
      <c r="H194" s="415">
        <f t="shared" si="44"/>
        <v>27.033089570552146</v>
      </c>
      <c r="I194" s="415">
        <v>9875</v>
      </c>
      <c r="J194" s="415">
        <f t="shared" si="45"/>
        <v>166.84484969325155</v>
      </c>
      <c r="K194" s="414" t="s">
        <v>25</v>
      </c>
    </row>
    <row r="195" spans="1:20" ht="15.75">
      <c r="A195" s="417" t="s">
        <v>6932</v>
      </c>
      <c r="B195" s="418">
        <v>174270956</v>
      </c>
      <c r="C195" s="418">
        <v>800</v>
      </c>
      <c r="D195" s="416">
        <f t="shared" si="42"/>
        <v>1.7106351509202453</v>
      </c>
      <c r="E195" s="421">
        <v>800</v>
      </c>
      <c r="F195" s="415">
        <f t="shared" si="43"/>
        <v>1.7106351509202453</v>
      </c>
      <c r="G195" s="417">
        <v>600</v>
      </c>
      <c r="H195" s="415">
        <f t="shared" si="44"/>
        <v>1.282976363190184</v>
      </c>
      <c r="I195" s="417">
        <v>6319</v>
      </c>
      <c r="J195" s="415">
        <f t="shared" si="45"/>
        <v>13.511879398331288</v>
      </c>
      <c r="K195" s="414"/>
    </row>
    <row r="196" spans="1:20" ht="15.75">
      <c r="A196" s="415" t="s">
        <v>6933</v>
      </c>
      <c r="B196" s="416">
        <v>1</v>
      </c>
      <c r="C196" s="416">
        <v>350000000000</v>
      </c>
      <c r="D196" s="416">
        <f t="shared" si="42"/>
        <v>4.294478527607362</v>
      </c>
      <c r="E196" s="423">
        <v>300000000000</v>
      </c>
      <c r="F196" s="415">
        <f t="shared" si="43"/>
        <v>3.6809815950920246</v>
      </c>
      <c r="G196" s="415">
        <v>250000000000</v>
      </c>
      <c r="H196" s="415">
        <f t="shared" si="44"/>
        <v>3.0674846625766872</v>
      </c>
      <c r="I196" s="415">
        <v>1800000000000</v>
      </c>
      <c r="J196" s="415">
        <f t="shared" si="45"/>
        <v>22.085889570552148</v>
      </c>
      <c r="K196" s="414"/>
    </row>
    <row r="197" spans="1:20" ht="15.75">
      <c r="A197" s="417" t="s">
        <v>6934</v>
      </c>
      <c r="B197" s="418">
        <v>12494998000</v>
      </c>
      <c r="C197" s="418">
        <v>900</v>
      </c>
      <c r="D197" s="416">
        <f t="shared" si="42"/>
        <v>137.98157300613497</v>
      </c>
      <c r="E197" s="421">
        <v>800</v>
      </c>
      <c r="F197" s="415">
        <f t="shared" si="43"/>
        <v>122.65028711656441</v>
      </c>
      <c r="G197" s="417">
        <v>80</v>
      </c>
      <c r="H197" s="415">
        <f t="shared" si="44"/>
        <v>12.265028711656441</v>
      </c>
      <c r="I197" s="417">
        <v>3000</v>
      </c>
      <c r="J197" s="415">
        <f t="shared" si="45"/>
        <v>459.93857668711655</v>
      </c>
      <c r="K197" s="414"/>
    </row>
    <row r="198" spans="1:20" ht="15.75">
      <c r="A198" s="415" t="s">
        <v>6935</v>
      </c>
      <c r="B198" s="416">
        <v>3062221439</v>
      </c>
      <c r="C198" s="416">
        <v>30</v>
      </c>
      <c r="D198" s="416">
        <f t="shared" si="42"/>
        <v>1.1271980757055216</v>
      </c>
      <c r="E198" s="423">
        <v>20</v>
      </c>
      <c r="F198" s="415">
        <f t="shared" si="43"/>
        <v>0.751465383803681</v>
      </c>
      <c r="G198" s="415">
        <v>2</v>
      </c>
      <c r="H198" s="415">
        <f t="shared" si="44"/>
        <v>7.5146538380368097E-2</v>
      </c>
      <c r="I198" s="415">
        <v>2000</v>
      </c>
      <c r="J198" s="415">
        <f t="shared" si="45"/>
        <v>75.146538380368099</v>
      </c>
    </row>
    <row r="199" spans="1:20" ht="15.75">
      <c r="A199" s="417" t="s">
        <v>6469</v>
      </c>
      <c r="B199" s="418">
        <v>1</v>
      </c>
      <c r="C199" s="418">
        <v>750000000000</v>
      </c>
      <c r="D199" s="416">
        <f t="shared" si="42"/>
        <v>9.2024539877300615</v>
      </c>
      <c r="E199" s="418">
        <v>500000000000</v>
      </c>
      <c r="F199" s="415">
        <f>B199*E199/$K$180</f>
        <v>6.1349693251533743</v>
      </c>
      <c r="G199" s="418">
        <v>300000000000</v>
      </c>
      <c r="H199" s="415">
        <f t="shared" si="44"/>
        <v>3.6809815950920246</v>
      </c>
      <c r="I199" s="417">
        <v>4000000000000</v>
      </c>
      <c r="J199" s="415">
        <f t="shared" si="45"/>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441.21695262134961</v>
      </c>
      <c r="E201" s="419"/>
      <c r="F201" s="419">
        <f>SUM(F181:F200)</f>
        <v>372.0465595777423</v>
      </c>
      <c r="G201" s="419"/>
      <c r="H201" s="419">
        <f>SUM(H181:H200)</f>
        <v>216.76978151206137</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7150</v>
      </c>
      <c r="I208" s="176" t="s">
        <v>4245</v>
      </c>
      <c r="J208" s="176" t="s">
        <v>4907</v>
      </c>
      <c r="K208" s="413" t="s">
        <v>4652</v>
      </c>
    </row>
    <row r="209" spans="1:11" ht="15.75">
      <c r="A209" s="415" t="s">
        <v>6965</v>
      </c>
      <c r="B209" s="416">
        <v>66006193</v>
      </c>
      <c r="C209" s="416">
        <v>800</v>
      </c>
      <c r="D209" s="416">
        <f t="shared" ref="D209:D228" si="46">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6"/>
        <v>48.197788312500002</v>
      </c>
      <c r="E210" s="421">
        <v>308</v>
      </c>
      <c r="F210" s="415">
        <f t="shared" ref="F210:F229" si="47">B210*E210/$K$209</f>
        <v>32.988708445</v>
      </c>
      <c r="G210" s="417">
        <v>213</v>
      </c>
      <c r="H210" s="415">
        <f t="shared" ref="H210:H229" si="48">B210*G210/$K$209</f>
        <v>22.813619801249999</v>
      </c>
      <c r="I210" s="417">
        <v>2810</v>
      </c>
      <c r="J210" s="415">
        <f t="shared" ref="J210:J228" si="49">B210*I210/$K$209</f>
        <v>300.9684114625</v>
      </c>
      <c r="K210" s="431"/>
    </row>
    <row r="211" spans="1:11" ht="15.75">
      <c r="A211" s="415" t="s">
        <v>6959</v>
      </c>
      <c r="B211" s="416">
        <v>995049277</v>
      </c>
      <c r="C211" s="416">
        <v>260</v>
      </c>
      <c r="D211" s="416">
        <f t="shared" si="46"/>
        <v>21.559401001666668</v>
      </c>
      <c r="E211" s="423">
        <v>120</v>
      </c>
      <c r="F211" s="415">
        <f t="shared" si="47"/>
        <v>9.9504927700000003</v>
      </c>
      <c r="G211" s="415">
        <v>30</v>
      </c>
      <c r="H211" s="415">
        <f t="shared" si="48"/>
        <v>2.4876231925000001</v>
      </c>
      <c r="I211" s="415">
        <v>1107</v>
      </c>
      <c r="J211" s="415">
        <f t="shared" si="49"/>
        <v>91.793295803250004</v>
      </c>
      <c r="K211" s="431"/>
    </row>
    <row r="212" spans="1:11" ht="15.75">
      <c r="A212" s="417" t="s">
        <v>6960</v>
      </c>
      <c r="B212" s="418">
        <v>676410539</v>
      </c>
      <c r="C212" s="418">
        <v>300</v>
      </c>
      <c r="D212" s="416">
        <f t="shared" si="46"/>
        <v>16.910263475000001</v>
      </c>
      <c r="E212" s="421">
        <v>257</v>
      </c>
      <c r="F212" s="415">
        <f t="shared" si="47"/>
        <v>14.486459043583332</v>
      </c>
      <c r="G212" s="417">
        <v>130</v>
      </c>
      <c r="H212" s="415">
        <f t="shared" si="48"/>
        <v>7.3277808391666666</v>
      </c>
      <c r="I212" s="417">
        <v>1264</v>
      </c>
      <c r="J212" s="415">
        <f t="shared" si="49"/>
        <v>71.24857677466666</v>
      </c>
      <c r="K212" s="431"/>
    </row>
    <row r="213" spans="1:11" ht="15.75">
      <c r="A213" s="415" t="s">
        <v>6961</v>
      </c>
      <c r="B213" s="416">
        <v>213196988</v>
      </c>
      <c r="C213" s="416">
        <v>200</v>
      </c>
      <c r="D213" s="416">
        <f t="shared" si="46"/>
        <v>3.5532831333333332</v>
      </c>
      <c r="E213" s="423">
        <v>167</v>
      </c>
      <c r="F213" s="415">
        <f t="shared" si="47"/>
        <v>2.9669914163333333</v>
      </c>
      <c r="G213" s="415">
        <v>85</v>
      </c>
      <c r="H213" s="415">
        <f t="shared" si="48"/>
        <v>1.5101453316666666</v>
      </c>
      <c r="I213" s="415">
        <v>1650</v>
      </c>
      <c r="J213" s="415">
        <f t="shared" si="49"/>
        <v>29.31458585</v>
      </c>
      <c r="K213" s="431"/>
    </row>
    <row r="214" spans="1:11" ht="15.75">
      <c r="A214" s="417" t="s">
        <v>4216</v>
      </c>
      <c r="B214" s="418">
        <v>113533718</v>
      </c>
      <c r="C214" s="418">
        <v>300</v>
      </c>
      <c r="D214" s="416">
        <f t="shared" si="46"/>
        <v>2.8383429499999999</v>
      </c>
      <c r="E214" s="421">
        <v>230</v>
      </c>
      <c r="F214" s="415">
        <f t="shared" si="47"/>
        <v>2.1760629283333333</v>
      </c>
      <c r="G214" s="417">
        <v>200</v>
      </c>
      <c r="H214" s="415">
        <f t="shared" si="48"/>
        <v>1.8922286333333334</v>
      </c>
      <c r="I214" s="417">
        <v>1530</v>
      </c>
      <c r="J214" s="415">
        <f t="shared" si="49"/>
        <v>14.475549044999999</v>
      </c>
      <c r="K214" s="431"/>
    </row>
    <row r="215" spans="1:11" ht="15.75">
      <c r="A215" s="415" t="s">
        <v>6465</v>
      </c>
      <c r="B215" s="416">
        <v>1385388043</v>
      </c>
      <c r="C215" s="416">
        <v>350</v>
      </c>
      <c r="D215" s="416">
        <f t="shared" si="46"/>
        <v>40.407151254166664</v>
      </c>
      <c r="E215" s="423">
        <v>190</v>
      </c>
      <c r="F215" s="415">
        <f t="shared" si="47"/>
        <v>21.935310680833332</v>
      </c>
      <c r="G215" s="415">
        <v>130</v>
      </c>
      <c r="H215" s="415">
        <f t="shared" si="48"/>
        <v>15.008370465833334</v>
      </c>
      <c r="I215" s="415">
        <v>2200</v>
      </c>
      <c r="J215" s="415">
        <f t="shared" si="49"/>
        <v>253.98780788333335</v>
      </c>
      <c r="K215" s="431"/>
    </row>
    <row r="216" spans="1:11" ht="15.75">
      <c r="A216" s="417" t="s">
        <v>4509</v>
      </c>
      <c r="B216" s="418">
        <v>1246451029</v>
      </c>
      <c r="C216" s="418">
        <v>260</v>
      </c>
      <c r="D216" s="416">
        <f t="shared" si="46"/>
        <v>27.006438961666667</v>
      </c>
      <c r="E216" s="421">
        <v>130</v>
      </c>
      <c r="F216" s="415">
        <f t="shared" si="47"/>
        <v>13.503219480833334</v>
      </c>
      <c r="G216" s="417">
        <v>28</v>
      </c>
      <c r="H216" s="415">
        <f t="shared" si="48"/>
        <v>2.9083857343333333</v>
      </c>
      <c r="I216" s="417">
        <v>1315</v>
      </c>
      <c r="J216" s="415">
        <f t="shared" si="49"/>
        <v>136.59025859458333</v>
      </c>
      <c r="K216" s="431"/>
    </row>
    <row r="217" spans="1:11" ht="15.75">
      <c r="A217" s="415" t="s">
        <v>5794</v>
      </c>
      <c r="B217" s="416">
        <v>111005114</v>
      </c>
      <c r="C217" s="416">
        <v>250</v>
      </c>
      <c r="D217" s="416">
        <f t="shared" si="46"/>
        <v>2.3126065416666668</v>
      </c>
      <c r="E217" s="423">
        <v>223</v>
      </c>
      <c r="F217" s="415">
        <f t="shared" si="47"/>
        <v>2.0628450351666667</v>
      </c>
      <c r="G217" s="415">
        <v>80</v>
      </c>
      <c r="H217" s="415">
        <f t="shared" si="48"/>
        <v>0.74003409333333336</v>
      </c>
      <c r="I217" s="415">
        <v>1600</v>
      </c>
      <c r="J217" s="415">
        <f t="shared" si="49"/>
        <v>14.800681866666666</v>
      </c>
      <c r="K217" s="431"/>
    </row>
    <row r="218" spans="1:11" ht="15.75">
      <c r="A218" s="417" t="s">
        <v>4476</v>
      </c>
      <c r="B218" s="418">
        <v>7385687</v>
      </c>
      <c r="C218" s="418">
        <v>6000</v>
      </c>
      <c r="D218" s="416">
        <f t="shared" si="46"/>
        <v>3.6928434999999999</v>
      </c>
      <c r="E218" s="421">
        <v>5800</v>
      </c>
      <c r="F218" s="415">
        <f t="shared" si="47"/>
        <v>3.5697487166666666</v>
      </c>
      <c r="G218" s="417">
        <v>5800</v>
      </c>
      <c r="H218" s="415">
        <f t="shared" si="48"/>
        <v>3.5697487166666666</v>
      </c>
      <c r="I218" s="417">
        <v>40260</v>
      </c>
      <c r="J218" s="415">
        <f t="shared" si="49"/>
        <v>24.778979884999998</v>
      </c>
      <c r="K218" s="431"/>
    </row>
    <row r="219" spans="1:11" ht="15.75">
      <c r="A219" s="415" t="s">
        <v>6962</v>
      </c>
      <c r="B219" s="416">
        <v>471875451</v>
      </c>
      <c r="C219" s="416">
        <v>0</v>
      </c>
      <c r="D219" s="416">
        <f t="shared" si="46"/>
        <v>0</v>
      </c>
      <c r="E219" s="423">
        <v>0</v>
      </c>
      <c r="F219" s="415">
        <f t="shared" si="47"/>
        <v>0</v>
      </c>
      <c r="G219" s="415">
        <v>0</v>
      </c>
      <c r="H219" s="415">
        <f t="shared" si="48"/>
        <v>0</v>
      </c>
      <c r="I219" s="415">
        <v>2100</v>
      </c>
      <c r="J219" s="415">
        <f t="shared" si="49"/>
        <v>82.578203924999997</v>
      </c>
      <c r="K219" s="431"/>
    </row>
    <row r="220" spans="1:11" ht="18.75">
      <c r="A220" s="417" t="s">
        <v>4829</v>
      </c>
      <c r="B220" s="418">
        <v>84202942</v>
      </c>
      <c r="C220" s="418">
        <v>3000</v>
      </c>
      <c r="D220" s="416">
        <f t="shared" si="46"/>
        <v>21.050735499999998</v>
      </c>
      <c r="E220" s="421">
        <v>2100</v>
      </c>
      <c r="F220" s="415">
        <f t="shared" si="47"/>
        <v>14.735514849999999</v>
      </c>
      <c r="G220" s="434">
        <v>1350</v>
      </c>
      <c r="H220" s="415">
        <f t="shared" si="48"/>
        <v>9.4728309750000008</v>
      </c>
      <c r="I220" s="417">
        <v>17768</v>
      </c>
      <c r="J220" s="415">
        <f t="shared" si="49"/>
        <v>124.67648945466667</v>
      </c>
      <c r="K220" s="431"/>
    </row>
    <row r="221" spans="1:11" ht="15.75">
      <c r="A221" s="415" t="s">
        <v>4358</v>
      </c>
      <c r="B221" s="416">
        <v>6727696</v>
      </c>
      <c r="C221" s="416">
        <v>4500</v>
      </c>
      <c r="D221" s="416">
        <f t="shared" si="46"/>
        <v>2.5228860000000002</v>
      </c>
      <c r="E221" s="423">
        <v>2400</v>
      </c>
      <c r="F221" s="415">
        <f t="shared" si="47"/>
        <v>1.3455391999999999</v>
      </c>
      <c r="G221" s="415">
        <v>2300</v>
      </c>
      <c r="H221" s="415">
        <f t="shared" si="48"/>
        <v>1.2894750666666666</v>
      </c>
      <c r="I221" s="415">
        <v>29290</v>
      </c>
      <c r="J221" s="415">
        <f t="shared" si="49"/>
        <v>16.421184653333334</v>
      </c>
      <c r="K221" s="431"/>
    </row>
    <row r="222" spans="1:11" ht="15.75">
      <c r="A222" s="417" t="s">
        <v>5845</v>
      </c>
      <c r="B222" s="418">
        <v>288259927</v>
      </c>
      <c r="C222" s="418">
        <v>550</v>
      </c>
      <c r="D222" s="416">
        <f t="shared" si="46"/>
        <v>13.211913320833334</v>
      </c>
      <c r="E222" s="421">
        <v>430</v>
      </c>
      <c r="F222" s="415">
        <f t="shared" si="47"/>
        <v>10.329314050833334</v>
      </c>
      <c r="G222" s="417">
        <v>380</v>
      </c>
      <c r="H222" s="415">
        <f t="shared" si="48"/>
        <v>9.1282310216666662</v>
      </c>
      <c r="I222" s="417">
        <v>3341</v>
      </c>
      <c r="J222" s="415">
        <f t="shared" si="49"/>
        <v>80.256368008916667</v>
      </c>
      <c r="K222" s="431" t="s">
        <v>25</v>
      </c>
    </row>
    <row r="223" spans="1:11" ht="15.75">
      <c r="A223" s="415" t="s">
        <v>5793</v>
      </c>
      <c r="B223" s="416">
        <v>103608037</v>
      </c>
      <c r="C223" s="416">
        <v>160</v>
      </c>
      <c r="D223" s="416">
        <f t="shared" si="46"/>
        <v>1.3814404933333333</v>
      </c>
      <c r="E223" s="415">
        <v>134</v>
      </c>
      <c r="F223" s="415">
        <f t="shared" si="47"/>
        <v>1.1569564131666668</v>
      </c>
      <c r="G223" s="415">
        <v>60</v>
      </c>
      <c r="H223" s="415">
        <f t="shared" si="48"/>
        <v>0.51804018500000004</v>
      </c>
      <c r="I223" s="415">
        <v>1235</v>
      </c>
      <c r="J223" s="415">
        <f t="shared" si="49"/>
        <v>10.662993807916667</v>
      </c>
      <c r="K223" s="431" t="s">
        <v>25</v>
      </c>
    </row>
    <row r="224" spans="1:11" ht="15.75">
      <c r="A224" s="417" t="s">
        <v>5761</v>
      </c>
      <c r="B224" s="418">
        <v>38247354</v>
      </c>
      <c r="C224" s="418">
        <v>1000</v>
      </c>
      <c r="D224" s="416">
        <f t="shared" si="46"/>
        <v>3.1872794999999998</v>
      </c>
      <c r="E224" s="417">
        <v>727</v>
      </c>
      <c r="F224" s="415">
        <f t="shared" si="47"/>
        <v>2.3171521964999999</v>
      </c>
      <c r="G224" s="417">
        <v>650</v>
      </c>
      <c r="H224" s="415">
        <f t="shared" si="48"/>
        <v>2.0717316750000001</v>
      </c>
      <c r="I224" s="417">
        <v>4805</v>
      </c>
      <c r="J224" s="415">
        <f t="shared" si="49"/>
        <v>15.3148779975</v>
      </c>
      <c r="K224" s="431"/>
    </row>
    <row r="225" spans="1:12" ht="15.75">
      <c r="A225" s="415" t="s">
        <v>6963</v>
      </c>
      <c r="B225" s="416">
        <v>79825258</v>
      </c>
      <c r="C225" s="416">
        <v>250</v>
      </c>
      <c r="D225" s="416">
        <f t="shared" si="46"/>
        <v>1.6630262083333334</v>
      </c>
      <c r="E225" s="415">
        <v>197</v>
      </c>
      <c r="F225" s="415">
        <f t="shared" si="47"/>
        <v>1.3104646521666667</v>
      </c>
      <c r="G225" s="415">
        <v>180</v>
      </c>
      <c r="H225" s="415">
        <f t="shared" si="48"/>
        <v>1.1973788700000001</v>
      </c>
      <c r="I225" s="415">
        <v>2370</v>
      </c>
      <c r="J225" s="415">
        <f t="shared" si="49"/>
        <v>15.765488455</v>
      </c>
      <c r="K225" s="431"/>
    </row>
    <row r="226" spans="1:12" ht="15.75">
      <c r="A226" s="417" t="s">
        <v>4354</v>
      </c>
      <c r="B226" s="418">
        <v>6427897</v>
      </c>
      <c r="C226" s="418">
        <v>3000</v>
      </c>
      <c r="D226" s="416">
        <f t="shared" si="46"/>
        <v>1.6069742499999999</v>
      </c>
      <c r="E226" s="417">
        <v>2037</v>
      </c>
      <c r="F226" s="415">
        <f t="shared" si="47"/>
        <v>1.09113551575</v>
      </c>
      <c r="G226" s="417">
        <v>2000</v>
      </c>
      <c r="H226" s="415">
        <f t="shared" si="48"/>
        <v>1.0713161666666666</v>
      </c>
      <c r="I226" s="417">
        <v>18724</v>
      </c>
      <c r="J226" s="415">
        <f t="shared" si="49"/>
        <v>10.029661952333333</v>
      </c>
      <c r="K226" s="431"/>
    </row>
    <row r="227" spans="1:12" ht="15.75">
      <c r="A227" s="415" t="s">
        <v>5788</v>
      </c>
      <c r="B227" s="416">
        <v>131231371</v>
      </c>
      <c r="C227" s="416">
        <v>300</v>
      </c>
      <c r="D227" s="416">
        <f t="shared" si="46"/>
        <v>3.2807842749999998</v>
      </c>
      <c r="E227" s="415">
        <v>173</v>
      </c>
      <c r="F227" s="415">
        <f t="shared" si="47"/>
        <v>1.8919189319166667</v>
      </c>
      <c r="G227" s="415">
        <v>170</v>
      </c>
      <c r="H227" s="415">
        <f t="shared" si="48"/>
        <v>1.8591110891666667</v>
      </c>
      <c r="I227" s="415">
        <v>4454</v>
      </c>
      <c r="J227" s="415">
        <f t="shared" si="49"/>
        <v>48.70871053616667</v>
      </c>
      <c r="K227" s="431"/>
    </row>
    <row r="228" spans="1:12" ht="15.75">
      <c r="A228" s="417" t="s">
        <v>6964</v>
      </c>
      <c r="B228" s="418">
        <v>891943775</v>
      </c>
      <c r="C228" s="418">
        <v>0</v>
      </c>
      <c r="D228" s="416">
        <f t="shared" si="46"/>
        <v>0</v>
      </c>
      <c r="E228" s="418">
        <v>0</v>
      </c>
      <c r="F228" s="415">
        <f t="shared" si="47"/>
        <v>0</v>
      </c>
      <c r="G228" s="418">
        <v>0</v>
      </c>
      <c r="H228" s="415">
        <f t="shared" si="48"/>
        <v>0</v>
      </c>
      <c r="I228" s="417">
        <v>1100</v>
      </c>
      <c r="J228" s="415">
        <f t="shared" si="49"/>
        <v>81.761512708333328</v>
      </c>
      <c r="K228" s="431"/>
    </row>
    <row r="229" spans="1:12" ht="15.75">
      <c r="A229" s="417" t="s">
        <v>6933</v>
      </c>
      <c r="B229" s="418">
        <v>1</v>
      </c>
      <c r="C229" s="418">
        <v>500000000000</v>
      </c>
      <c r="D229" s="416">
        <f>B229*C229/$K$209</f>
        <v>41.666666666666664</v>
      </c>
      <c r="E229" s="418">
        <v>500000000000</v>
      </c>
      <c r="F229" s="415">
        <f t="shared" si="47"/>
        <v>41.666666666666664</v>
      </c>
      <c r="G229" s="418">
        <v>300000000000</v>
      </c>
      <c r="H229" s="415">
        <f t="shared" si="48"/>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2" t="s">
        <v>4245</v>
      </c>
      <c r="B236" s="472">
        <v>17800</v>
      </c>
      <c r="C236" s="473"/>
      <c r="D236" s="473"/>
      <c r="E236" s="473"/>
      <c r="F236" s="473"/>
      <c r="G236" s="473"/>
      <c r="H236" s="473"/>
      <c r="I236" s="473"/>
      <c r="J236" s="473"/>
    </row>
    <row r="237" spans="1:12">
      <c r="A237" s="472" t="s">
        <v>7095</v>
      </c>
      <c r="B237" s="472">
        <v>4000</v>
      </c>
      <c r="C237" s="473"/>
      <c r="D237" s="473"/>
      <c r="E237" s="473"/>
      <c r="F237" s="473"/>
      <c r="G237" s="473"/>
      <c r="H237" s="473"/>
      <c r="I237" s="473"/>
      <c r="J237" s="473"/>
    </row>
    <row r="238" spans="1:12">
      <c r="A238" s="472" t="s">
        <v>7094</v>
      </c>
      <c r="B238" s="472">
        <v>2134</v>
      </c>
      <c r="C238" s="473"/>
      <c r="D238" s="473"/>
      <c r="E238" s="473"/>
      <c r="F238" s="473"/>
      <c r="G238" s="473"/>
      <c r="H238" s="473"/>
      <c r="I238" s="473"/>
      <c r="J238" s="473"/>
    </row>
    <row r="239" spans="1:12" ht="30">
      <c r="A239" s="474"/>
      <c r="B239" s="472" t="s">
        <v>7089</v>
      </c>
      <c r="C239" s="472" t="s">
        <v>4829</v>
      </c>
      <c r="D239" s="472" t="s">
        <v>5845</v>
      </c>
      <c r="E239" s="474" t="s">
        <v>4216</v>
      </c>
      <c r="F239" s="474" t="s">
        <v>7090</v>
      </c>
      <c r="G239" s="474" t="s">
        <v>7091</v>
      </c>
      <c r="H239" s="477" t="s">
        <v>7092</v>
      </c>
      <c r="I239" s="475" t="s">
        <v>7093</v>
      </c>
      <c r="J239" s="475" t="s">
        <v>7096</v>
      </c>
    </row>
    <row r="240" spans="1:12" ht="15.75">
      <c r="A240" s="472" t="s">
        <v>4829</v>
      </c>
      <c r="B240" s="476">
        <v>6000000000</v>
      </c>
      <c r="C240" s="476">
        <v>0</v>
      </c>
      <c r="D240" s="476">
        <v>0</v>
      </c>
      <c r="E240" s="476">
        <v>0</v>
      </c>
      <c r="F240" s="476"/>
      <c r="G240" s="476"/>
      <c r="H240" s="476"/>
      <c r="I240" s="476"/>
      <c r="J240" s="476"/>
    </row>
    <row r="241" spans="1:10" ht="15.75">
      <c r="A241" s="472" t="s">
        <v>5845</v>
      </c>
      <c r="B241" s="476">
        <v>40500000000</v>
      </c>
      <c r="C241" s="476">
        <v>4127266661</v>
      </c>
      <c r="D241" s="476">
        <v>0</v>
      </c>
      <c r="E241" s="476">
        <v>0</v>
      </c>
      <c r="F241" s="476">
        <f>C241</f>
        <v>4127266661</v>
      </c>
      <c r="G241" s="476">
        <f>F241*$B$236</f>
        <v>73465346565800</v>
      </c>
      <c r="H241" s="476">
        <f>G241/B241</f>
        <v>1813.9591744641975</v>
      </c>
      <c r="I241" s="476">
        <f>F241*$B$238/B241</f>
        <v>217.47128529812346</v>
      </c>
      <c r="J241" s="476">
        <f>F241*$B$237/B241</f>
        <v>407.63127516049383</v>
      </c>
    </row>
    <row r="242" spans="1:10" ht="15.75">
      <c r="A242" s="472" t="s">
        <v>4216</v>
      </c>
      <c r="B242" s="476">
        <v>72000000000</v>
      </c>
      <c r="C242" s="476">
        <v>8000</v>
      </c>
      <c r="D242" s="476">
        <v>27500000000</v>
      </c>
      <c r="E242" s="476">
        <v>0</v>
      </c>
      <c r="F242" s="476">
        <f>C242+(D242/B241)*F241</f>
        <v>2802473016.728395</v>
      </c>
      <c r="G242" s="476">
        <f>F242*$B$236</f>
        <v>49884019697765.43</v>
      </c>
      <c r="H242" s="476">
        <f t="shared" ref="H242:H244" si="50">G242/B242</f>
        <v>692.83360691340874</v>
      </c>
      <c r="I242" s="476">
        <f>F242*$B$238/B242</f>
        <v>83.06218635692214</v>
      </c>
      <c r="J242" s="476">
        <f>F242*$B$237/B242</f>
        <v>155.69294537379972</v>
      </c>
    </row>
    <row r="243" spans="1:10" ht="15.75">
      <c r="A243" s="472" t="s">
        <v>4652</v>
      </c>
      <c r="B243" s="476">
        <v>12000000000</v>
      </c>
      <c r="C243" s="476">
        <v>84902942</v>
      </c>
      <c r="D243" s="476">
        <v>296603601</v>
      </c>
      <c r="E243" s="476">
        <v>113533718</v>
      </c>
      <c r="F243" s="476">
        <f>C243+(D243/B241)*F241+(E243/B242)*F242</f>
        <v>119548267.76187068</v>
      </c>
      <c r="G243" s="476">
        <f>F243*$B$236</f>
        <v>2127959166161.2981</v>
      </c>
      <c r="H243" s="476">
        <f t="shared" si="50"/>
        <v>177.3299305134415</v>
      </c>
      <c r="I243" s="476">
        <f>F243*$B$238/B243</f>
        <v>21.259666950319335</v>
      </c>
      <c r="J243" s="476">
        <f>F243*$B$237/B243</f>
        <v>39.849422587290228</v>
      </c>
    </row>
    <row r="244" spans="1:10" ht="15.75">
      <c r="A244" s="472" t="s">
        <v>5261</v>
      </c>
      <c r="B244" s="476">
        <v>30000000000</v>
      </c>
      <c r="C244" s="476">
        <v>0</v>
      </c>
      <c r="D244" s="476">
        <v>0</v>
      </c>
      <c r="E244" s="476">
        <v>3356161798</v>
      </c>
      <c r="F244" s="476">
        <f>(E244/B242)*F242</f>
        <v>130632678.87041186</v>
      </c>
      <c r="G244" s="476">
        <f>F244*$B$236</f>
        <v>2325261683893.3311</v>
      </c>
      <c r="H244" s="476">
        <f t="shared" si="50"/>
        <v>77.508722796444374</v>
      </c>
      <c r="I244" s="476">
        <f>F244*$B$238/B244</f>
        <v>9.2923378903152969</v>
      </c>
      <c r="J244" s="476">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abSelected="1" topLeftCell="J46" zoomScale="85" zoomScaleNormal="85" workbookViewId="0">
      <selection activeCell="P50" sqref="P5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443904312</v>
      </c>
      <c r="O21" s="97">
        <v>353427</v>
      </c>
      <c r="P21" s="93">
        <f>P48</f>
        <v>1256</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10764282</v>
      </c>
      <c r="O22" s="97">
        <v>27012</v>
      </c>
      <c r="P22" s="93">
        <f>P49</f>
        <v>398.5</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255819898.35494471</v>
      </c>
      <c r="G24" s="93">
        <f t="shared" si="0"/>
        <v>24486447.02699393</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N28*100/$S$201</f>
        <v>34.187579069787546</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N29*100/$S$201</f>
        <v>2.9270608053844467</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268859063.35494471</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389328600</v>
      </c>
      <c r="O35" s="67">
        <v>309975</v>
      </c>
      <c r="P35" s="97">
        <f>P48</f>
        <v>1256</v>
      </c>
      <c r="Q35" s="67">
        <f>N35*100/$S$201</f>
        <v>3.8336776573417262</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32994604.5</v>
      </c>
      <c r="O36" s="67">
        <v>82797</v>
      </c>
      <c r="P36" s="97">
        <f>P49</f>
        <v>398.5</v>
      </c>
      <c r="Q36" s="67">
        <f>N36*100/$S$201</f>
        <v>0.32489439020014654</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7148</v>
      </c>
      <c r="L42" s="115">
        <v>6108000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7149</v>
      </c>
      <c r="L43" s="115">
        <v>-1000000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7130</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7147</v>
      </c>
      <c r="L48" s="115">
        <v>25000000</v>
      </c>
      <c r="M48" s="19" t="s">
        <v>4156</v>
      </c>
      <c r="N48" s="111">
        <f t="shared" ref="N48:N55" si="29">O48*P48</f>
        <v>4352170624</v>
      </c>
      <c r="O48" s="97">
        <f>SUM(Z117:Z161)</f>
        <v>3465104</v>
      </c>
      <c r="P48" s="97">
        <v>1256</v>
      </c>
      <c r="Q48" s="67">
        <f>N48*100/$S$201</f>
        <v>42.855365062232259</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1622483584.5</v>
      </c>
      <c r="O49" s="97">
        <f>SUM(AB117:AB161)</f>
        <v>4071477</v>
      </c>
      <c r="P49" s="97">
        <v>398.5</v>
      </c>
      <c r="Q49" s="67">
        <f>N49*100/$S$201</f>
        <v>15.976424715012888</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-23400000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1170000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O48-50000+49424</f>
        <v>3464528</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-111822596.67878948</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10465200924.321211</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255819898.35494471</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273565435.35494471</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355819898.35494471</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7118</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7117</v>
      </c>
      <c r="T73" s="193">
        <f>T117-1210</f>
        <v>29</v>
      </c>
      <c r="U73" s="205" t="s">
        <v>7127</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7120</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9792900000</v>
      </c>
      <c r="M75" s="207">
        <f>N28+N35+N48</f>
        <v>8213414050</v>
      </c>
      <c r="N75" s="181">
        <f t="shared" ref="N75:N80" si="39">L75-M75</f>
        <v>1579485950</v>
      </c>
      <c r="R75" s="167"/>
      <c r="S75" s="205" t="s">
        <v>7123</v>
      </c>
      <c r="T75" s="193">
        <f>T117-1214</f>
        <v>25</v>
      </c>
      <c r="U75" s="205" t="s">
        <v>7124</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2679300000</v>
      </c>
      <c r="M76" s="1">
        <f>N49+N36+N29</f>
        <v>1952735441</v>
      </c>
      <c r="N76" s="111">
        <f t="shared" si="39"/>
        <v>726564559</v>
      </c>
      <c r="R76" s="167"/>
      <c r="S76" s="205" t="s">
        <v>7126</v>
      </c>
      <c r="T76" s="193">
        <f>T117-1217</f>
        <v>22</v>
      </c>
      <c r="U76" s="205" t="s">
        <v>7136</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7134</v>
      </c>
      <c r="T77" s="193">
        <f>T117-1220</f>
        <v>19</v>
      </c>
      <c r="U77" s="205" t="s">
        <v>7135</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-2141100000</v>
      </c>
      <c r="M80" s="237">
        <v>0</v>
      </c>
      <c r="N80" s="84">
        <f t="shared" si="39"/>
        <v>-2141100000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11700000</v>
      </c>
      <c r="M83" s="1">
        <f>K83*L83</f>
        <v>0</v>
      </c>
      <c r="N83" s="111">
        <f>SUM(N75:N81)-M83</f>
        <v>164949918</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81571.246297899634</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6"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6258566</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1554725.6695859872</v>
      </c>
      <c r="H126" s="274" t="s">
        <v>5432</v>
      </c>
      <c r="I126" s="32">
        <f>(N48+N51+N35+N31+N28+N29+N30+N36+N53+N49)/P52</f>
        <v>522815.60766263818</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7813291.669585987</v>
      </c>
      <c r="H127" s="32" t="s">
        <v>5433</v>
      </c>
      <c r="I127" s="32">
        <f>I125+I126</f>
        <v>522815.60766263818</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386012.68286981649</v>
      </c>
      <c r="H128" s="32" t="s">
        <v>5413</v>
      </c>
      <c r="I128" s="32">
        <f>(X172+X173)/P52</f>
        <v>24933.501140884007</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2737105.3260036353</v>
      </c>
      <c r="H129" s="32" t="s">
        <v>480</v>
      </c>
      <c r="I129" s="32">
        <f>X170/P52</f>
        <v>176796.31213476812</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4690173.6607125355</v>
      </c>
      <c r="H130" s="32" t="s">
        <v>5</v>
      </c>
      <c r="I130" s="32">
        <f>I127-I128-I129</f>
        <v>321085.79438698606</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7119</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7121</v>
      </c>
      <c r="T152" s="205">
        <f>T117-1213</f>
        <v>26</v>
      </c>
      <c r="U152" s="205" t="s">
        <v>7125</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7123</v>
      </c>
      <c r="T153" s="205">
        <f>T117-1214</f>
        <v>25</v>
      </c>
      <c r="U153" s="205" t="s">
        <v>7128</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7133</v>
      </c>
      <c r="T154" s="205">
        <f>T117-1219</f>
        <v>20</v>
      </c>
      <c r="U154" s="205" t="s">
        <v>7141</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7142</v>
      </c>
      <c r="T155" s="205">
        <f>T117-1233</f>
        <v>6</v>
      </c>
      <c r="U155" s="205" t="s">
        <v>7144</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7143</v>
      </c>
      <c r="T156" s="205">
        <f>T117-1239</f>
        <v>0</v>
      </c>
      <c r="U156" s="205" t="s">
        <v>7145</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5"/>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3437804289.460566</v>
      </c>
      <c r="Y170">
        <f>X170*100/$X$176</f>
        <v>33.851696214504976</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6232849838.8549442</v>
      </c>
      <c r="Y171" s="94">
        <f>X171*100/$X$176</f>
        <v>61.3742149145585</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111822596.67878948</v>
      </c>
      <c r="Y172" s="94">
        <f>X172*100/$X$176</f>
        <v>1.1011053143113823</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373009333.00569999</v>
      </c>
      <c r="Y173" s="94">
        <f>X173*100/$X$176</f>
        <v>3.6729835566251543</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10155486057.999998</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49313871.494300008</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62508725.184489474</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-268859063.35494471</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5974654208.5</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3769172078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422323204.5</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-14400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-10649624</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10155486058</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7121</v>
      </c>
      <c r="AK269" s="111">
        <v>200000000</v>
      </c>
      <c r="AL269" s="97">
        <v>7</v>
      </c>
      <c r="AM269" s="20">
        <f t="shared" si="87"/>
        <v>8</v>
      </c>
      <c r="AN269" s="115"/>
      <c r="AO269" s="259" t="s">
        <v>7122</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7134</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5974654355.5</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5304818406.4384365</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ht="30">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4952925003.7928581</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7139</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7139</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7142</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7143</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ht="30">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4191495726.5</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3970320338.651772</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3855819819.6689119</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ht="30">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7121</v>
      </c>
      <c r="V546" s="19">
        <v>86686</v>
      </c>
      <c r="W546" s="115">
        <v>2307.1718759999999</v>
      </c>
      <c r="X546" s="115">
        <f t="shared" si="105"/>
        <v>199999501.24293599</v>
      </c>
      <c r="Y546" s="489" t="s">
        <v>7132</v>
      </c>
      <c r="Z546" t="s">
        <v>25</v>
      </c>
    </row>
    <row r="547" spans="18:28">
      <c r="R547" s="97" t="s">
        <v>6463</v>
      </c>
      <c r="S547" s="93">
        <v>3035714.4702960001</v>
      </c>
      <c r="U547" s="19" t="s">
        <v>7139</v>
      </c>
      <c r="V547" s="19">
        <v>81</v>
      </c>
      <c r="W547" s="115">
        <v>2411.414808</v>
      </c>
      <c r="X547" s="115">
        <f t="shared" si="105"/>
        <v>195324.59944799999</v>
      </c>
      <c r="Y547" s="259" t="s">
        <v>5097</v>
      </c>
      <c r="AA547" t="s">
        <v>25</v>
      </c>
      <c r="AB547" t="s">
        <v>25</v>
      </c>
    </row>
    <row r="548" spans="18:28">
      <c r="R548" s="97" t="s">
        <v>6471</v>
      </c>
      <c r="S548" s="93">
        <v>-179906186.46823201</v>
      </c>
      <c r="U548" s="19" t="s">
        <v>7139</v>
      </c>
      <c r="V548" s="19">
        <v>8426</v>
      </c>
      <c r="W548" s="115">
        <v>2411.414808</v>
      </c>
      <c r="X548" s="115">
        <f t="shared" si="105"/>
        <v>20318581.172208</v>
      </c>
      <c r="Y548" s="489" t="s">
        <v>7140</v>
      </c>
    </row>
    <row r="549" spans="18:28">
      <c r="R549" s="97" t="s">
        <v>6476</v>
      </c>
      <c r="S549" s="93">
        <v>345069.28943499998</v>
      </c>
      <c r="U549" s="19" t="s">
        <v>7142</v>
      </c>
      <c r="V549" s="19">
        <v>1242</v>
      </c>
      <c r="W549" s="115">
        <v>2330.0938919999999</v>
      </c>
      <c r="X549" s="115">
        <f t="shared" si="105"/>
        <v>2893976.613864</v>
      </c>
      <c r="Y549" s="259" t="s">
        <v>5097</v>
      </c>
    </row>
    <row r="550" spans="18:28">
      <c r="R550" s="97" t="s">
        <v>6568</v>
      </c>
      <c r="S550" s="93">
        <v>567785.37859199999</v>
      </c>
      <c r="U550" s="19" t="s">
        <v>7143</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2298.086616633911</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152.10740860238204</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10155486058</v>
      </c>
      <c r="W572" s="93">
        <f>V572-U572</f>
        <v>7537835703.2982731</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7121</v>
      </c>
      <c r="S576" s="93">
        <v>200000000</v>
      </c>
    </row>
    <row r="577" spans="18:25">
      <c r="R577" s="97" t="s">
        <v>7139</v>
      </c>
      <c r="S577" s="93">
        <v>195324.59944799999</v>
      </c>
      <c r="U577" s="112"/>
    </row>
    <row r="578" spans="18:25">
      <c r="R578" s="97" t="s">
        <v>7139</v>
      </c>
      <c r="S578" s="93">
        <v>20318581.172208</v>
      </c>
    </row>
    <row r="579" spans="18:25">
      <c r="R579" s="97" t="s">
        <v>7142</v>
      </c>
      <c r="S579" s="93">
        <v>2893976.613864</v>
      </c>
      <c r="U579" s="112" t="s">
        <v>25</v>
      </c>
    </row>
    <row r="580" spans="18:25">
      <c r="R580" s="97" t="s">
        <v>7143</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19"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0.85398626455658411</v>
      </c>
      <c r="J1" s="392">
        <f t="shared" ref="J1:J38" si="2">I1/H1</f>
        <v>0.68581045708546462</v>
      </c>
      <c r="K1" s="32">
        <f t="shared" ref="K1:K39" si="3">(1/J1-1.0256)*100</f>
        <v>43.252883088684314</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0.85398626455658411</v>
      </c>
      <c r="J2" s="392">
        <f>I2/H2</f>
        <v>0.64758088556695359</v>
      </c>
      <c r="K2" s="32">
        <f t="shared" si="3"/>
        <v>51.860864217526334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0.85398626455658411</v>
      </c>
      <c r="J3" s="392">
        <f t="shared" si="2"/>
        <v>0.64158149861619718</v>
      </c>
      <c r="K3" s="32">
        <f t="shared" si="3"/>
        <v>53.304843695908019</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v>
      </c>
      <c r="J4" s="32">
        <f t="shared" si="2"/>
        <v>0.69089481622280524</v>
      </c>
      <c r="K4" s="32">
        <f t="shared" si="3"/>
        <v>42.179832535885176</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v>
      </c>
      <c r="J5" s="32">
        <f t="shared" si="2"/>
        <v>0.68064666081297454</v>
      </c>
      <c r="K5" s="32">
        <f t="shared" si="3"/>
        <v>44.359107603581727</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v>
      </c>
      <c r="J6" s="32">
        <f t="shared" si="2"/>
        <v>0.67496513609834197</v>
      </c>
      <c r="K6" s="32">
        <f t="shared" si="3"/>
        <v>45.59580042852771</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v>
      </c>
      <c r="J7" s="32">
        <f t="shared" ref="J7:J9" si="7">I7/H7</f>
        <v>0.67270503454431263</v>
      </c>
      <c r="K7" s="32">
        <f t="shared" ref="K7:K9" si="8">(1/J7-1.0256)*100</f>
        <v>46.093562653562635</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v>
      </c>
      <c r="J8" s="32">
        <f t="shared" si="7"/>
        <v>0.72705422863151559</v>
      </c>
      <c r="K8" s="32">
        <f t="shared" si="8"/>
        <v>34.981322314049599</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v>
      </c>
      <c r="J9" s="32">
        <f t="shared" si="7"/>
        <v>0.68384336872354401</v>
      </c>
      <c r="K9" s="32">
        <f t="shared" si="8"/>
        <v>43.672316600011939</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v>
      </c>
      <c r="J10" s="32">
        <f>I10/H10</f>
        <v>0.67327605024507375</v>
      </c>
      <c r="K10" s="32">
        <f t="shared" ref="K10" si="11">(1/J10-1.0256)*100</f>
        <v>45.967487296777911</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12.88076923076923</v>
      </c>
      <c r="J11" s="392">
        <f>I11/H11</f>
        <v>1.2496108287774954</v>
      </c>
      <c r="K11" s="392">
        <f>(1/J11-1.0256)*100</f>
        <v>-22.5350852848876</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12.88076923076923</v>
      </c>
      <c r="J12" s="392">
        <f t="shared" si="2"/>
        <v>1.2390362585527679</v>
      </c>
      <c r="K12" s="392">
        <f t="shared" si="3"/>
        <v>-21.85211166362231</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12.88076923076923</v>
      </c>
      <c r="J13" s="392">
        <f t="shared" si="2"/>
        <v>1.2271015835579515</v>
      </c>
      <c r="K13" s="392">
        <f t="shared" si="3"/>
        <v>-21.067154305797242</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12.88076923076923</v>
      </c>
      <c r="J14" s="392">
        <f t="shared" si="2"/>
        <v>1.2111092334730296</v>
      </c>
      <c r="K14" s="392">
        <f t="shared" si="3"/>
        <v>-19.991064650348967</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12.88076923076923</v>
      </c>
      <c r="J15" s="392">
        <f t="shared" si="2"/>
        <v>1.2209954553105538</v>
      </c>
      <c r="K15" s="392">
        <f t="shared" si="3"/>
        <v>-20.659613258130005</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12.88076923076923</v>
      </c>
      <c r="J16" s="392">
        <f t="shared" si="2"/>
        <v>1.1906215137300231</v>
      </c>
      <c r="K16" s="392">
        <f t="shared" si="3"/>
        <v>-18.57025275722064</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12.88076923076923</v>
      </c>
      <c r="J17" s="392">
        <f t="shared" si="2"/>
        <v>1.1677064158548873</v>
      </c>
      <c r="K17" s="392">
        <f t="shared" si="3"/>
        <v>-16.922036003040041</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12.88076923076923</v>
      </c>
      <c r="J18" s="392">
        <f t="shared" si="2"/>
        <v>1.1458318503844476</v>
      </c>
      <c r="K18" s="392">
        <f t="shared" si="3"/>
        <v>-15.28715977789572</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12.88076923076923</v>
      </c>
      <c r="J19" s="392">
        <f t="shared" si="2"/>
        <v>1.1371608633476338</v>
      </c>
      <c r="K19" s="392">
        <f t="shared" si="3"/>
        <v>-14.621693975630901</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12.88076923076923</v>
      </c>
      <c r="J20" s="392">
        <f>I20/H20</f>
        <v>1.1162354179457943</v>
      </c>
      <c r="K20" s="392">
        <f t="shared" si="3"/>
        <v>-12.97316339520046</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12.88076923076923</v>
      </c>
      <c r="J21" s="392">
        <f t="shared" si="2"/>
        <v>1.0471397545504688</v>
      </c>
      <c r="K21" s="392">
        <f t="shared" si="3"/>
        <v>-7.0617634318263178</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12.88076923076923</v>
      </c>
      <c r="J22" s="392">
        <f>I22/H22</f>
        <v>1.0498404108064681</v>
      </c>
      <c r="K22" s="392">
        <f t="shared" ref="K22" si="15">(1/J22-1.0256)*100</f>
        <v>-7.3074273511896548</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12.88076923076923</v>
      </c>
      <c r="J23" s="392">
        <f t="shared" ref="J23" si="16">I23/H23</f>
        <v>1.0356521975201389</v>
      </c>
      <c r="K23" s="392">
        <f t="shared" ref="K23" si="17">(1/J23-1.0256)*100</f>
        <v>-6.0024875074381034</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12.88076923076923</v>
      </c>
      <c r="J24" s="392">
        <f t="shared" ref="J24:J25" si="19">I24/H24</f>
        <v>1.025731107940214</v>
      </c>
      <c r="K24" s="392">
        <f t="shared" ref="K24:K25" si="20">(1/J24-1.0256)*100</f>
        <v>-5.068562696502898</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12.88076923076923</v>
      </c>
      <c r="J25" s="392">
        <f t="shared" si="19"/>
        <v>1.0261656757747282</v>
      </c>
      <c r="K25" s="392">
        <f t="shared" si="20"/>
        <v>-5.1098490538551538</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3.2994923857868019</v>
      </c>
      <c r="J26" s="392">
        <f>I26/H26</f>
        <v>1.2251467026138971</v>
      </c>
      <c r="K26" s="392">
        <f>(1/J26-1.0256)*100</f>
        <v>-20.937121869041331</v>
      </c>
      <c r="L26" s="392"/>
      <c r="M26" s="392"/>
      <c r="N26" s="392">
        <f>1</f>
        <v>1</v>
      </c>
      <c r="O26" s="397">
        <f t="shared" ref="O26:O28" si="25">F26-C26</f>
        <v>-757.56700000000001</v>
      </c>
      <c r="P26" s="397">
        <f>R29-R28</f>
        <v>-906</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3.2994923857868019</v>
      </c>
      <c r="J27" s="392">
        <f t="shared" ref="J27" si="26">I27/H27</f>
        <v>1.2138441935149695</v>
      </c>
      <c r="K27" s="392">
        <f>(1/J27-1.0256)*100</f>
        <v>-20.177103962555009</v>
      </c>
      <c r="L27" s="392"/>
      <c r="M27" s="392"/>
      <c r="N27" s="392">
        <f>H27/H26</f>
        <v>1.0093113343205924</v>
      </c>
      <c r="O27" s="397">
        <f t="shared" si="25"/>
        <v>-774.33699999999999</v>
      </c>
      <c r="P27" s="397"/>
      <c r="Q27" s="67" t="s">
        <v>5845</v>
      </c>
      <c r="R27" s="300">
        <v>2365</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3.2994923857868019</v>
      </c>
      <c r="J28" s="392">
        <f t="shared" ref="J28" si="27">I28/H28</f>
        <v>1.187702975356955</v>
      </c>
      <c r="K28" s="392">
        <f t="shared" ref="K28" si="28">(1/J28-1.0256)*100</f>
        <v>-18.363865044670991</v>
      </c>
      <c r="L28" s="392"/>
      <c r="M28" s="392"/>
      <c r="N28" s="392">
        <f t="shared" ref="N28" si="29">H28/H27</f>
        <v>1.0220098953192887</v>
      </c>
      <c r="O28" s="397">
        <f t="shared" si="25"/>
        <v>-831.53300000000013</v>
      </c>
      <c r="P28" s="40"/>
      <c r="Q28" s="97" t="s">
        <v>4216</v>
      </c>
      <c r="R28" s="276">
        <v>1300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3.2994923857868019</v>
      </c>
      <c r="J29" s="392">
        <f t="shared" ref="J29" si="30">I29/H29</f>
        <v>1.1668976693244886</v>
      </c>
      <c r="K29" s="392">
        <f t="shared" ref="K29" si="31">(1/J29-1.0256)*100</f>
        <v>-16.862682549799324</v>
      </c>
      <c r="L29" s="392"/>
      <c r="M29" s="392"/>
      <c r="N29" s="392">
        <f t="shared" ref="N29" si="32">H29/H28</f>
        <v>1.0178295891571285</v>
      </c>
      <c r="O29" s="397">
        <f t="shared" ref="O29" si="33">F29-C29</f>
        <v>-844.76670000000001</v>
      </c>
      <c r="P29" s="40"/>
      <c r="Q29" s="97" t="s">
        <v>5261</v>
      </c>
      <c r="R29" s="286">
        <v>394</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3.2994923857868019</v>
      </c>
      <c r="J30" s="392">
        <f t="shared" ref="J30" si="34">I30/H30</f>
        <v>1.1652873043223717</v>
      </c>
      <c r="K30" s="392">
        <f t="shared" ref="K30:K31" si="35">(1/J30-1.0256)*100</f>
        <v>-16.744253420532051</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3.2994923857868019</v>
      </c>
      <c r="J31" s="392">
        <f>I31/H31</f>
        <v>1.1619308332470044</v>
      </c>
      <c r="K31" s="392">
        <f t="shared" si="35"/>
        <v>-16.496357364275315</v>
      </c>
      <c r="L31" s="392"/>
      <c r="M31" s="392"/>
      <c r="N31" s="392">
        <f t="shared" si="36"/>
        <v>1.0028887012714756</v>
      </c>
      <c r="O31" s="397">
        <f>F31-C31</f>
        <v>-952.33299999999997</v>
      </c>
      <c r="P31" s="40"/>
      <c r="Q31" s="97" t="s">
        <v>4358</v>
      </c>
      <c r="R31" s="275">
        <v>14300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3.2994923857868019</v>
      </c>
      <c r="J32" s="392">
        <f t="shared" ref="J32:J33" si="37">I32/H32</f>
        <v>1.1447512165064107</v>
      </c>
      <c r="K32" s="392">
        <f t="shared" ref="K32:K33" si="38">(1/J32-1.0256)*100</f>
        <v>-15.204775075947708</v>
      </c>
      <c r="L32" s="392"/>
      <c r="M32" s="392"/>
      <c r="N32" s="392">
        <f t="shared" ref="N32:N33" si="39">H32/H31</f>
        <v>1.0150072928448359</v>
      </c>
      <c r="O32" s="397">
        <f t="shared" ref="O32:O35" si="40">F32-C32</f>
        <v>-964.28399999999988</v>
      </c>
      <c r="P32" s="40"/>
      <c r="Q32" s="97" t="s">
        <v>4354</v>
      </c>
      <c r="R32" s="285">
        <v>16745</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3.2994923857868019</v>
      </c>
      <c r="J33" s="392">
        <f t="shared" si="37"/>
        <v>1.1240050761421321</v>
      </c>
      <c r="K33" s="392">
        <f t="shared" si="38"/>
        <v>-13.592430259812415</v>
      </c>
      <c r="L33" s="392"/>
      <c r="M33" s="392"/>
      <c r="N33" s="392">
        <f t="shared" si="39"/>
        <v>1.0184573368969867</v>
      </c>
      <c r="O33" s="397">
        <f t="shared" si="40"/>
        <v>-989.01</v>
      </c>
      <c r="P33" s="40"/>
      <c r="Q33" s="97" t="s">
        <v>4652</v>
      </c>
      <c r="R33" s="433">
        <v>650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3.2994923857868019</v>
      </c>
      <c r="J34" s="392">
        <f t="shared" ref="J34" si="41">I34/H34</f>
        <v>1.1025784198880644</v>
      </c>
      <c r="K34" s="392">
        <f t="shared" ref="K34" si="42">(1/J34-1.0256)*100</f>
        <v>-11.863503318927505</v>
      </c>
      <c r="L34" s="392"/>
      <c r="M34" s="392"/>
      <c r="N34" s="392">
        <f t="shared" ref="N34:N36" si="43">H34/H33</f>
        <v>1.0194332265783352</v>
      </c>
      <c r="O34" s="397">
        <f t="shared" si="40"/>
        <v>-1012.7334000000001</v>
      </c>
      <c r="P34" s="40"/>
      <c r="Q34" s="67" t="s">
        <v>1068</v>
      </c>
      <c r="R34" s="344">
        <v>11500000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3.2994923857868019</v>
      </c>
      <c r="J35" s="392">
        <f t="shared" ref="J35" si="44">I35/H35</f>
        <v>1.1013827826893161</v>
      </c>
      <c r="K35" s="392">
        <f t="shared" ref="K35" si="45">(1/J35-1.0256)*100</f>
        <v>-11.765045174372835</v>
      </c>
      <c r="L35" s="392"/>
      <c r="M35" s="392"/>
      <c r="N35" s="392">
        <f t="shared" si="43"/>
        <v>1.0010855782544821</v>
      </c>
      <c r="O35" s="397">
        <f t="shared" si="40"/>
        <v>-1024.943</v>
      </c>
      <c r="P35" s="40" t="s">
        <v>25</v>
      </c>
      <c r="W35" s="348"/>
      <c r="Y35" s="348"/>
    </row>
    <row r="36" spans="1:25" ht="18.75">
      <c r="A36" s="488" t="s">
        <v>7121</v>
      </c>
      <c r="B36" s="386" t="s">
        <v>4216</v>
      </c>
      <c r="C36" s="383">
        <v>1268.3</v>
      </c>
      <c r="D36" s="386">
        <v>2.6</v>
      </c>
      <c r="E36" s="388" t="s">
        <v>5261</v>
      </c>
      <c r="F36" s="387">
        <v>398</v>
      </c>
      <c r="G36" s="292">
        <f t="shared" ref="G36:G37" si="46">C36*D36*0.9912/(F36*1.003631981)</f>
        <v>8.182745989876139</v>
      </c>
      <c r="H36" s="409">
        <f>C36/F36</f>
        <v>3.186683417085427</v>
      </c>
      <c r="I36" s="389">
        <f t="shared" si="24"/>
        <v>3.2994923857868019</v>
      </c>
      <c r="J36" s="288">
        <f>I36/H36</f>
        <v>1.0354001179083396</v>
      </c>
      <c r="K36" s="392">
        <f t="shared" ref="K36:K37" si="47">(1/J36-1.0256)*100</f>
        <v>-5.9789795129493672</v>
      </c>
      <c r="L36" s="392"/>
      <c r="M36" s="392"/>
      <c r="N36" s="392">
        <f t="shared" si="43"/>
        <v>1.0637267309900167</v>
      </c>
      <c r="O36" s="397">
        <f t="shared" ref="O36:O37" si="48">F36-C36</f>
        <v>-870.3</v>
      </c>
      <c r="P36" s="40"/>
    </row>
    <row r="37" spans="1:25" ht="18.75">
      <c r="A37" s="488" t="s">
        <v>7143</v>
      </c>
      <c r="B37" s="386" t="s">
        <v>4216</v>
      </c>
      <c r="C37" s="383">
        <v>1328</v>
      </c>
      <c r="D37" s="386">
        <v>1</v>
      </c>
      <c r="E37" s="388" t="s">
        <v>5261</v>
      </c>
      <c r="F37" s="387">
        <v>395</v>
      </c>
      <c r="G37" s="292">
        <f t="shared" si="46"/>
        <v>3.3203799368275471</v>
      </c>
      <c r="H37" s="409">
        <f>C37/F37</f>
        <v>3.3620253164556964</v>
      </c>
      <c r="I37" s="389">
        <f t="shared" si="24"/>
        <v>3.2994923857868019</v>
      </c>
      <c r="J37" s="288">
        <f>I37/H37</f>
        <v>0.98140022017002015</v>
      </c>
      <c r="K37" s="392">
        <f t="shared" si="47"/>
        <v>-0.66477117818890541</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42.5</v>
      </c>
      <c r="J38" s="32">
        <f t="shared" si="2"/>
        <v>1.4405540261527874</v>
      </c>
      <c r="K38" s="32">
        <f t="shared" si="3"/>
        <v>-33.142263362197674</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42.5</v>
      </c>
      <c r="J39" s="32">
        <f t="shared" ref="J39" si="50">I39/H39</f>
        <v>1.4237426799862212</v>
      </c>
      <c r="K39" s="398">
        <f t="shared" si="3"/>
        <v>-32.322588840163327</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1.8192307692307692</v>
      </c>
      <c r="J40" s="32">
        <f t="shared" ref="J40:J43" si="52">I40/H40</f>
        <v>1.0697918726517699</v>
      </c>
      <c r="K40" s="398">
        <f t="shared" ref="K40:K43" si="53">(1/J40-1.0256)*100</f>
        <v>-9.083873889485794</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6.0025380710659899</v>
      </c>
      <c r="J41" s="32">
        <f t="shared" si="52"/>
        <v>1.2190554190772218</v>
      </c>
      <c r="K41" s="398">
        <f t="shared" si="53"/>
        <v>-20.529274870459822</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666</v>
      </c>
      <c r="G42" s="432">
        <f t="shared" si="0"/>
        <v>2.1943794581427665</v>
      </c>
      <c r="H42" s="432">
        <f t="shared" si="51"/>
        <v>2.2222222222222223</v>
      </c>
      <c r="I42" s="432">
        <f>$R$28/$R$33</f>
        <v>2</v>
      </c>
      <c r="J42" s="32">
        <f t="shared" si="52"/>
        <v>0.89999999999999991</v>
      </c>
      <c r="K42" s="398">
        <f t="shared" si="53"/>
        <v>8.5511111111111084</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1.0101010101010102</v>
      </c>
      <c r="J43" s="32">
        <f t="shared" si="52"/>
        <v>0.88831112555519443</v>
      </c>
      <c r="K43" s="32">
        <f t="shared" si="53"/>
        <v>10.01317073170731</v>
      </c>
      <c r="L43" s="32"/>
      <c r="M43" s="32"/>
      <c r="N43" s="32">
        <v>1</v>
      </c>
      <c r="O43" s="397">
        <f>F43-C43</f>
        <v>-185.5</v>
      </c>
      <c r="P43" s="397">
        <f>R30-R28</f>
        <v>-13</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8846.1538461538457</v>
      </c>
      <c r="J45" s="20">
        <f>I45/H45</f>
        <v>1.0380769230769231</v>
      </c>
      <c r="K45" s="20">
        <f>(1/J45-1.0153)*100</f>
        <v>-5.1980251945164984</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8846.1538461538457</v>
      </c>
      <c r="J46" s="20">
        <f t="shared" ref="J46:J47" si="54">I46/H46</f>
        <v>0.9654149000605694</v>
      </c>
      <c r="K46" s="20">
        <f t="shared" ref="K46:K47" si="55">(1/J46-1.0153)*100</f>
        <v>2.0524079302340015</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8846.1538461538457</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v>
      </c>
      <c r="J52" s="97">
        <f t="shared" ref="J52:J58" si="60">I52/H52</f>
        <v>0.60639977707597992</v>
      </c>
      <c r="K52" s="97">
        <f t="shared" ref="K52:K58" si="61">(1/J52-1.0256)*100</f>
        <v>62.347712338209391</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v>
      </c>
      <c r="J53" s="97">
        <f t="shared" si="60"/>
        <v>0.56962279383232017</v>
      </c>
      <c r="K53" s="97">
        <f t="shared" si="61"/>
        <v>72.994772531516688</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v>
      </c>
      <c r="J54" s="97">
        <f t="shared" si="60"/>
        <v>0.54542872023104971</v>
      </c>
      <c r="K54" s="97">
        <f t="shared" si="61"/>
        <v>80.782013888888855</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v>
      </c>
      <c r="J55" s="97">
        <f t="shared" si="60"/>
        <v>0.5306694560669456</v>
      </c>
      <c r="K55" s="97">
        <f t="shared" si="61"/>
        <v>85.881220531419999</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v>
      </c>
      <c r="J56" s="97">
        <f t="shared" si="60"/>
        <v>0.53435555555555558</v>
      </c>
      <c r="K56" s="97">
        <f t="shared" si="61"/>
        <v>84.581312484404876</v>
      </c>
      <c r="L56" s="93">
        <v>0</v>
      </c>
      <c r="M56" s="93">
        <f t="shared" si="62"/>
        <v>0</v>
      </c>
      <c r="N56" s="97" t="s">
        <v>6471</v>
      </c>
      <c r="P56" t="s">
        <v>7146</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v>
      </c>
      <c r="J57" s="97">
        <f t="shared" si="60"/>
        <v>0.53594026828650976</v>
      </c>
      <c r="K57" s="97">
        <f t="shared" si="61"/>
        <v>84.027957497048391</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12.88076923076923</v>
      </c>
      <c r="J58" s="97">
        <f t="shared" si="60"/>
        <v>0.87946493024065375</v>
      </c>
      <c r="K58" s="97">
        <f t="shared" si="61"/>
        <v>11.145500425851363</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1250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500</v>
      </c>
      <c r="C82" s="94">
        <f>$B$80-B82</f>
        <v>750</v>
      </c>
      <c r="D82" s="94">
        <f>(A82-C82)*100/C82</f>
        <v>20</v>
      </c>
      <c r="E82" s="94"/>
      <c r="P82" s="94"/>
      <c r="Q82" s="94" t="s">
        <v>25</v>
      </c>
      <c r="R82" s="94" t="s">
        <v>25</v>
      </c>
      <c r="S82" s="94"/>
      <c r="T82" s="94"/>
    </row>
    <row r="83" spans="1:26">
      <c r="A83" s="94">
        <v>1000</v>
      </c>
      <c r="B83" s="94">
        <v>435</v>
      </c>
      <c r="C83" s="457">
        <f>$B$80-B83</f>
        <v>815</v>
      </c>
      <c r="D83" s="457">
        <f>(A83-C83)*100/C83</f>
        <v>22.699386503067483</v>
      </c>
      <c r="E83" s="94"/>
      <c r="O83" s="94"/>
      <c r="P83" s="94"/>
      <c r="Q83" s="94" t="s">
        <v>25</v>
      </c>
      <c r="R83" s="94" t="s">
        <v>25</v>
      </c>
      <c r="S83" s="94"/>
      <c r="T83" s="94"/>
    </row>
    <row r="84" spans="1:26">
      <c r="A84" s="94">
        <v>1200</v>
      </c>
      <c r="B84" s="94">
        <v>300</v>
      </c>
      <c r="C84" s="457">
        <f>$B$80-B84</f>
        <v>950</v>
      </c>
      <c r="D84" s="457">
        <f>(A84-C84)*100/C84</f>
        <v>26.315789473684209</v>
      </c>
      <c r="E84" s="94"/>
      <c r="K84" t="s">
        <v>25</v>
      </c>
      <c r="O84" s="94"/>
      <c r="P84" s="94"/>
      <c r="Q84" s="94" t="s">
        <v>25</v>
      </c>
      <c r="R84" s="112" t="s">
        <v>25</v>
      </c>
      <c r="S84" s="94"/>
      <c r="T84" s="94"/>
    </row>
    <row r="85" spans="1:26">
      <c r="A85" s="94">
        <v>1400</v>
      </c>
      <c r="B85">
        <v>150</v>
      </c>
      <c r="C85" s="457">
        <f>$B$80-B85</f>
        <v>1100</v>
      </c>
      <c r="D85" s="457">
        <f>(A85-C85)*100/C85</f>
        <v>27.272727272727273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7138</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7138</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1256</v>
      </c>
      <c r="H4" s="115">
        <f>C4*G4</f>
        <v>370520000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395879191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1256</v>
      </c>
      <c r="H19" s="115">
        <f>C19*G19</f>
        <v>16247616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287010899</v>
      </c>
    </row>
    <row r="26" spans="1:8">
      <c r="D26" t="s">
        <v>5384</v>
      </c>
      <c r="E26" s="112">
        <f>'خرید خانه'!H10+'خرید خانه'!H23-'خرید خانه'!D10-'خرید خانه'!D23</f>
        <v>381190090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2022-02-23T09:06:50Z</dcterms:modified>
</cp:coreProperties>
</file>