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V571" i="18" l="1"/>
  <c r="X558" i="18"/>
  <c r="X557" i="18"/>
  <c r="X556" i="18"/>
  <c r="T75" i="18" l="1"/>
  <c r="X555" i="18"/>
  <c r="O33" i="18" l="1"/>
  <c r="T142" i="18"/>
  <c r="T141" i="18"/>
  <c r="P53" i="18"/>
  <c r="X554" i="18"/>
  <c r="R1" i="63"/>
  <c r="F44" i="63"/>
  <c r="P23" i="18"/>
  <c r="N23" i="18" s="1"/>
  <c r="P22" i="18"/>
  <c r="N22" i="18" s="1"/>
  <c r="X553" i="18"/>
  <c r="T140" i="18" l="1"/>
  <c r="X552" i="18" l="1"/>
  <c r="X551" i="18"/>
  <c r="W577" i="18"/>
  <c r="AK279" i="18"/>
  <c r="X550" i="18"/>
  <c r="X549" i="18"/>
  <c r="X548" i="18"/>
  <c r="X547" i="18"/>
  <c r="X546" i="18"/>
  <c r="L52" i="18"/>
  <c r="W590" i="18"/>
  <c r="R12" i="63" l="1"/>
  <c r="S14" i="63" s="1"/>
  <c r="T139" i="18" l="1"/>
  <c r="T138" i="18" l="1"/>
  <c r="I35" i="63"/>
  <c r="G35" i="63"/>
  <c r="H35" i="63"/>
  <c r="O35" i="63"/>
  <c r="J35" i="63" l="1"/>
  <c r="K35" i="63" s="1"/>
  <c r="G33" i="63"/>
  <c r="G34" i="63"/>
  <c r="I34" i="63"/>
  <c r="H34" i="63"/>
  <c r="N35" i="63" s="1"/>
  <c r="O34" i="63"/>
  <c r="T137" i="18"/>
  <c r="H33" i="63"/>
  <c r="J47" i="60"/>
  <c r="N34" i="63" l="1"/>
  <c r="J34" i="63"/>
  <c r="K34" i="63" s="1"/>
  <c r="J11" i="60"/>
  <c r="F5" i="60"/>
  <c r="E4" i="60"/>
  <c r="F4" i="60" s="1"/>
  <c r="I51" i="63"/>
  <c r="H51" i="63"/>
  <c r="N51" i="63" s="1"/>
  <c r="G51" i="63"/>
  <c r="I36" i="63"/>
  <c r="K82" i="18"/>
  <c r="X545" i="18"/>
  <c r="X544" i="18"/>
  <c r="X569" i="18"/>
  <c r="X570" i="18"/>
  <c r="X543" i="18"/>
  <c r="T13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5"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91" i="18"/>
  <c r="W592" i="18"/>
  <c r="W593"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0" i="18"/>
  <c r="T102" i="18"/>
  <c r="T101" i="18"/>
  <c r="S321" i="18"/>
  <c r="X526" i="18"/>
  <c r="X525" i="18"/>
  <c r="E103" i="72" l="1"/>
  <c r="D102" i="72"/>
  <c r="E111" i="63"/>
  <c r="X524" i="18"/>
  <c r="T65" i="18"/>
  <c r="D101" i="72" l="1"/>
  <c r="E102" i="72"/>
  <c r="S594" i="18"/>
  <c r="X523" i="18"/>
  <c r="AB126" i="18"/>
  <c r="AB127" i="18"/>
  <c r="AB128" i="18"/>
  <c r="AB129" i="18"/>
  <c r="AB130" i="18"/>
  <c r="AB125" i="18"/>
  <c r="AB57" i="18"/>
  <c r="AB58" i="18"/>
  <c r="AB59" i="18"/>
  <c r="AB60" i="18"/>
  <c r="AB56" i="18"/>
  <c r="T64" i="18"/>
  <c r="O52" i="18" l="1"/>
  <c r="D100" i="72"/>
  <c r="E101" i="72"/>
  <c r="O34"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4" i="18"/>
  <c r="D79" i="72" l="1"/>
  <c r="E80" i="72"/>
  <c r="X515" i="18"/>
  <c r="T133" i="18"/>
  <c r="D78" i="72" l="1"/>
  <c r="E79" i="72"/>
  <c r="X514" i="18"/>
  <c r="T132" i="18"/>
  <c r="D77" i="72" l="1"/>
  <c r="E78" i="72"/>
  <c r="X513" i="18"/>
  <c r="E77" i="72" l="1"/>
  <c r="D76" i="72"/>
  <c r="D75" i="72" l="1"/>
  <c r="E76" i="72"/>
  <c r="D74" i="72" l="1"/>
  <c r="E75" i="72"/>
  <c r="E74" i="72" l="1"/>
  <c r="D73" i="72"/>
  <c r="E73" i="72" l="1"/>
  <c r="D72" i="72"/>
  <c r="D71" i="72" l="1"/>
  <c r="E72" i="72"/>
  <c r="X512" i="18"/>
  <c r="I32" i="63"/>
  <c r="O32" i="63"/>
  <c r="I33" i="63"/>
  <c r="O33" i="63"/>
  <c r="N36" i="63" l="1"/>
  <c r="D70" i="72"/>
  <c r="E71" i="72"/>
  <c r="J33" i="63"/>
  <c r="K33" i="63" s="1"/>
  <c r="X511" i="18"/>
  <c r="E70" i="72" l="1"/>
  <c r="D69" i="72"/>
  <c r="X510" i="18"/>
  <c r="E69" i="72" l="1"/>
  <c r="D68" i="72"/>
  <c r="T131"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505" i="18" l="1"/>
  <c r="X468" i="18" l="1"/>
  <c r="X467" i="18"/>
  <c r="X466" i="18"/>
  <c r="X470" i="18"/>
  <c r="X465" i="18"/>
  <c r="X464" i="18"/>
  <c r="P37" i="18"/>
  <c r="N37" i="18" s="1"/>
  <c r="N57" i="18"/>
  <c r="X384" i="18"/>
  <c r="T116"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504" i="18"/>
  <c r="AM503" i="18" s="1"/>
  <c r="O472" i="52"/>
  <c r="J472" i="52"/>
  <c r="AM502" i="18" l="1"/>
  <c r="AN503" i="18"/>
  <c r="AN504" i="18"/>
  <c r="AN502" i="18" l="1"/>
  <c r="AM501" i="18"/>
  <c r="AM475" i="18"/>
  <c r="X433" i="18"/>
  <c r="X432" i="18"/>
  <c r="X431" i="18"/>
  <c r="X430" i="18"/>
  <c r="X42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3" i="18"/>
  <c r="X424" i="18"/>
  <c r="X425" i="18"/>
  <c r="X426" i="18"/>
  <c r="X427" i="18"/>
  <c r="X428" i="18"/>
  <c r="AM492" i="18" l="1"/>
  <c r="AN493" i="18"/>
  <c r="AM466" i="18"/>
  <c r="AN466" i="18" s="1"/>
  <c r="AN467" i="18"/>
  <c r="O454" i="52"/>
  <c r="J454" i="52"/>
  <c r="AM491" i="18" l="1"/>
  <c r="AN492" i="18"/>
  <c r="X422" i="18"/>
  <c r="AM490" i="18" l="1"/>
  <c r="AN491" i="18"/>
  <c r="AN490" i="18" l="1"/>
  <c r="AM489" i="18"/>
  <c r="X421" i="18"/>
  <c r="X420" i="18"/>
  <c r="AM488" i="18" l="1"/>
  <c r="AN489" i="18"/>
  <c r="X419" i="18"/>
  <c r="X418" i="18"/>
  <c r="AN488" i="18" l="1"/>
  <c r="AM487" i="18"/>
  <c r="X417" i="18"/>
  <c r="AN487" i="18" l="1"/>
  <c r="AM486" i="18"/>
  <c r="X416" i="18"/>
  <c r="AN486" i="18" l="1"/>
  <c r="AM485" i="18"/>
  <c r="X415" i="18"/>
  <c r="AM484" i="18" l="1"/>
  <c r="AN485" i="18"/>
  <c r="X414" i="18"/>
  <c r="AN484" i="18" l="1"/>
  <c r="AM483" i="18"/>
  <c r="X413" i="18"/>
  <c r="AM482" i="18" l="1"/>
  <c r="AN483" i="18"/>
  <c r="X41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10" i="18"/>
  <c r="AN480" i="18" l="1"/>
  <c r="AM479" i="18"/>
  <c r="X409" i="18"/>
  <c r="AM478" i="18" l="1"/>
  <c r="AN479" i="18"/>
  <c r="X408" i="18"/>
  <c r="AM477" i="18" l="1"/>
  <c r="AN478" i="18"/>
  <c r="X407" i="18"/>
  <c r="AN477" i="18" l="1"/>
  <c r="AM476" i="18"/>
  <c r="AN476" i="18" s="1"/>
  <c r="X406" i="18"/>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7"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4" i="18"/>
  <c r="T74" i="18" s="1"/>
  <c r="S176" i="18"/>
  <c r="S174" i="18"/>
  <c r="D57" i="51"/>
  <c r="T85" i="18" l="1"/>
  <c r="T86" i="18"/>
  <c r="T87" i="18" s="1"/>
  <c r="T88" i="18" s="1"/>
  <c r="AM117" i="18"/>
  <c r="AN118" i="18"/>
  <c r="AN117" i="18" l="1"/>
  <c r="AM116" i="18"/>
  <c r="T89" i="18"/>
  <c r="T90" i="18" s="1"/>
  <c r="N40" i="18"/>
  <c r="S173"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N75" i="18"/>
  <c r="I126" i="18"/>
  <c r="I127" i="18" s="1"/>
  <c r="R79" i="18"/>
  <c r="AK509" i="18"/>
  <c r="AK510" i="18" s="1"/>
  <c r="AN94" i="18"/>
  <c r="AM93" i="18"/>
  <c r="AM308" i="18"/>
  <c r="AN309" i="18"/>
  <c r="U574" i="18" l="1"/>
  <c r="X156" i="18" s="1"/>
  <c r="Q33" i="18"/>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87" i="18"/>
  <c r="W587" i="18" s="1"/>
  <c r="G304" i="20"/>
  <c r="I305" i="20"/>
  <c r="K305" i="20"/>
  <c r="J305" i="20"/>
  <c r="AM73" i="18"/>
  <c r="AN74" i="18"/>
  <c r="S111" i="18"/>
  <c r="W75" i="18" s="1"/>
  <c r="X75" i="18" l="1"/>
  <c r="Y75" i="18"/>
  <c r="W74" i="18"/>
  <c r="W142" i="18"/>
  <c r="W141" i="18"/>
  <c r="X74" i="18"/>
  <c r="Y74" i="18"/>
  <c r="W139" i="18"/>
  <c r="X139" i="18" s="1"/>
  <c r="W140" i="18"/>
  <c r="W137" i="18"/>
  <c r="X137" i="18" s="1"/>
  <c r="W138" i="18"/>
  <c r="W135" i="18"/>
  <c r="X135" i="18" s="1"/>
  <c r="W136" i="18"/>
  <c r="W73" i="18"/>
  <c r="Y73" i="18" s="1"/>
  <c r="W72" i="18"/>
  <c r="W71" i="18"/>
  <c r="W70" i="18"/>
  <c r="W69" i="18"/>
  <c r="X69" i="18" s="1"/>
  <c r="W68" i="18"/>
  <c r="Y68" i="18" s="1"/>
  <c r="W67" i="18"/>
  <c r="X67" i="18" s="1"/>
  <c r="W146" i="18"/>
  <c r="W145" i="18"/>
  <c r="W66" i="18"/>
  <c r="W102" i="18"/>
  <c r="W101" i="18"/>
  <c r="W65" i="18"/>
  <c r="W63" i="18"/>
  <c r="X63" i="18" s="1"/>
  <c r="W64" i="18"/>
  <c r="W62" i="18"/>
  <c r="W78" i="18"/>
  <c r="W134" i="18"/>
  <c r="X134" i="18" s="1"/>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8"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X141" i="18" l="1"/>
  <c r="Y141" i="18"/>
  <c r="X142" i="18"/>
  <c r="Y142" i="18"/>
  <c r="Y139" i="18"/>
  <c r="X140" i="18"/>
  <c r="Y140" i="18"/>
  <c r="Y137" i="18"/>
  <c r="Y135" i="18"/>
  <c r="X138" i="18"/>
  <c r="Y138" i="18"/>
  <c r="X136" i="18"/>
  <c r="Y136" i="18"/>
  <c r="X73" i="18"/>
  <c r="X72" i="18"/>
  <c r="Y72" i="18"/>
  <c r="Y69" i="18"/>
  <c r="X70" i="18"/>
  <c r="Y70" i="18"/>
  <c r="X71" i="18"/>
  <c r="Y71" i="18"/>
  <c r="Y67" i="18"/>
  <c r="X68" i="18"/>
  <c r="X145" i="18"/>
  <c r="Y145" i="18"/>
  <c r="X146" i="18"/>
  <c r="Y146" i="18"/>
  <c r="X66" i="18"/>
  <c r="Y66" i="18"/>
  <c r="X101" i="18"/>
  <c r="Y101" i="18"/>
  <c r="X102" i="18"/>
  <c r="Y102" i="18"/>
  <c r="X65" i="18"/>
  <c r="Y65" i="18"/>
  <c r="Y63" i="18"/>
  <c r="X64" i="18"/>
  <c r="Y64" i="18"/>
  <c r="X78" i="18"/>
  <c r="Y78" i="18"/>
  <c r="X62" i="18"/>
  <c r="Y62" i="18"/>
  <c r="Y134" i="18"/>
  <c r="Y132" i="18"/>
  <c r="Y133" i="18"/>
  <c r="X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2"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5" i="18"/>
  <c r="Y85" i="18"/>
  <c r="X85" i="18"/>
  <c r="X22" i="18"/>
  <c r="Y22" i="18"/>
  <c r="X20" i="18"/>
  <c r="Y20" i="18"/>
  <c r="X115" i="18"/>
  <c r="Y115"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<sst xmlns="http://schemas.openxmlformats.org/spreadsheetml/2006/main" count="16851" uniqueCount="6991">
  <si>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</si>
  <si>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</si>
  <si>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</si>
  <si>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</si>
  <si>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</si>
  <si>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</si>
  <si>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</si>
  <si>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</si>
  <si>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</si>
  <si>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</si>
  <si>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</si>
  <si>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</si>
  <si>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</si>
  <si>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</si>
  <si>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</si>
  <si>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</si>
  <si>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</si>
  <si>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</si>
  <si>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</si>
  <si>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</si>
  <si>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</si>
  <si>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</si>
  <si>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</si>
  <si>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</si>
  <si>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</si>
  <si>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</si>
  <si>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</si>
  <si>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</si>
  <si>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</si>
  <si>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</si>
  <si>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</si>
  <si>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</si>
  <si>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</si>
  <si>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</si>
  <si>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</si>
  <si>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</si>
  <si>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</si>
  <si>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</si>
  <si>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</si>
  <si>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</si>
  <si>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</si>
  <si>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</si>
  <si>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</si>
  <si>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</si>
  <si>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</si>
  <si>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</si>
  <si>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</si>
  <si>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</si>
  <si>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</si>
  <si>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</si>
  <si>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</si>
  <si>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</si>
  <si>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</si>
  <si>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</si>
  <si>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</si>
  <si>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</si>
  <si>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</si>
  <si>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</si>
  <si>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</si>
  <si>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</si>
  <si>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</si>
  <si>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</si>
  <si>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</si>
  <si>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</si>
  <si>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</si>
  <si>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</si>
  <si>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</si>
  <si>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</si>
  <si>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</si>
  <si>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</si>
  <si>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</si>
  <si>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</si>
  <si>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</si>
  <si>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</si>
  <si>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</si>
  <si>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</si>
  <si>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</si>
  <si>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</si>
  <si>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</si>
  <si>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</si>
  <si>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</si>
  <si>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</si>
  <si>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</si>
  <si>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</si>
  <si>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</si>
  <si>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</si>
  <si>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</si>
  <si>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</si>
  <si>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</si>
  <si>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</si>
  <si>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</si>
  <si>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</si>
  <si>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</si>
  <si>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</si>
  <si>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</si>
  <si>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</si>
  <si>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</si>
  <si>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</si>
  <si>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</si>
  <si>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</si>
  <si>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</si>
  <si>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</si>
  <si>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</si>
  <si>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</si>
  <si>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</si>
  <si>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</si>
  <si>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</si>
  <si>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</si>
  <si>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</si>
  <si>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</si>
  <si>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</si>
  <si>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</si>
  <si>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</si>
  <si>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</si>
  <si>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</si>
  <si>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</si>
  <si>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</si>
  <si>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</si>
  <si>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</si>
  <si>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</si>
  <si>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</si>
  <si>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</si>
  <si>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</si>
  <si>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</si>
  <si>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</si>
  <si>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</si>
  <si>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</si>
  <si>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</si>
  <si>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</si>
  <si>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</si>
  <si>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</si>
  <si>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</si>
  <si>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</si>
  <si>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</si>
  <si>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</si>
  <si>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</si>
  <si>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</si>
  <si>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</si>
  <si>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</si>
  <si>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</si>
  <si>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</si>
  <si>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</si>
  <si>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</si>
  <si>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</si>
  <si>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</si>
  <si>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</si>
  <si>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</si>
  <si>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</si>
  <si>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</si>
  <si>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</si>
  <si>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</si>
  <si>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</si>
  <si>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</si>
  <si>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</si>
  <si>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</si>
  <si>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</si>
  <si>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</si>
  <si>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</si>
  <si>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</si>
  <si>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</si>
  <si>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</si>
  <si>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</si>
  <si>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</si>
  <si>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</si>
  <si>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</si>
  <si>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</si>
  <si>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</si>
  <si>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</si>
  <si>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</si>
  <si>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</si>
  <si>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</si>
  <si>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</si>
  <si>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</si>
  <si>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</si>
  <si>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</si>
  <si>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</si>
  <si>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</si>
  <si>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</si>
  <si>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</si>
  <si>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</si>
  <si>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</si>
  <si>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</si>
  <si>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</si>
  <si>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</si>
  <si>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</si>
  <si>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</si>
  <si>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</si>
  <si>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</si>
  <si>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</si>
  <si>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</si>
  <si>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</si>
  <si>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</si>
  <si>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</si>
  <si>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</si>
  <si>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</si>
  <si>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</si>
  <si>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</si>
  <si>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</si>
  <si>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</si>
  <si>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</si>
  <si>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</si>
  <si>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</si>
  <si>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</si>
  <si>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</si>
  <si>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</si>
  <si>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</si>
  <si>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</si>
  <si>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</si>
  <si>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</si>
  <si>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</si>
  <si>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</si>
  <si>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</si>
  <si>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</si>
  <si>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</si>
  <si>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</si>
  <si>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</si>
  <si>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</si>
  <si>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</si>
  <si>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</si>
  <si>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</si>
  <si>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</si>
  <si>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</si>
  <si>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</si>
  <si>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</si>
  <si>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</si>
  <si>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</si>
  <si>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</si>
  <si>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</si>
  <si>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</si>
  <si>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</si>
  <si>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</si>
  <si>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</si>
  <si>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</si>
  <si>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</si>
  <si>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</si>
  <si>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</si>
  <si>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</si>
  <si>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</si>
  <si>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</si>
  <si>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</si>
  <si>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</si>
  <si>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</si>
  <si>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</si>
  <si>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</si>
  <si>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</si>
  <si>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</si>
  <si>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</si>
  <si>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</si>
  <si>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</si>
  <si>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</si>
  <si>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</si>
  <si>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</si>
  <si>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</si>
  <si>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</si>
  <si>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</si>
  <si>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</si>
  <si>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</si>
  <si>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</si>
  <si>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</si>
  <si>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</si>
  <si>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</si>
  <si>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</si>
  <si>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</si>
  <si>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</si>
  <si>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</si>
  <si>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</si>
  <si>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</si>
  <si>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</si>
  <si>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</si>
  <si>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</si>
  <si>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</si>
  <si>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</si>
  <si>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</si>
  <si>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</si>
  <si>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</si>
  <si>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</si>
  <si>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</si>
  <si>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</si>
  <si>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</si>
  <si>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</si>
  <si>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</si>
  <si>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</si>
  <si>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</si>
  <si>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</si>
  <si>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</si>
  <si>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</si>
  <si>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</si>
  <si>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</si>
  <si>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</si>
  <si>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</si>
  <si>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</si>
  <si>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</si>
  <si>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</si>
  <si>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</si>
  <si>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</si>
  <si>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</si>
  <si>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</si>
  <si>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</si>
  <si>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</si>
  <si>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</si>
  <si>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</si>
  <si>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</si>
  <si>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</si>
  <si>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</si>
  <si>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</si>
  <si>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</si>
  <si>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</si>
  <si>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</si>
  <si>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</si>
  <si>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</si>
  <si>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</si>
  <si>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</si>
  <si>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</si>
  <si>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</si>
  <si>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</si>
  <si>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</si>
  <si>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</si>
  <si>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</si>
  <si>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</si>
  <si>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</si>
  <si>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</si>
  <si>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</si>
  <si>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</si>
  <si>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</si>
  <si>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</si>
  <si>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</si>
  <si>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</si>
  <si>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</si>
  <si>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</si>
  <si>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</si>
  <si>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</si>
  <si>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</si>
  <si>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</si>
  <si>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</si>
  <si>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</si>
  <si>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</si>
  <si>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</si>
  <si>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</si>
  <si>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</si>
  <si>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</si>
  <si>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</si>
  <si>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</si>
  <si>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</si>
  <si>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</si>
  <si>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</si>
  <si>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</si>
  <si>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</si>
  <si>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</si>
  <si>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</si>
  <si>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</si>
  <si>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</si>
  <si>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</si>
  <si>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</si>
  <si>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</si>
  <si>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</si>
  <si>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</si>
  <si>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</si>
  <si>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</si>
  <si>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</si>
  <si>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</si>
  <si>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</si>
  <si>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</si>
  <si>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</si>
  <si>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</si>
  <si>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</si>
  <si>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</si>
  <si>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</si>
  <si>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</si>
  <si>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</si>
  <si>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</si>
  <si>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</si>
  <si>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</si>
  <si>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</si>
  <si>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</si>
  <si>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</si>
  <si>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</si>
  <si>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</si>
  <si>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</si>
  <si>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</si>
  <si>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</si>
  <si>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</si>
  <si>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</si>
  <si>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</si>
  <si>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</si>
  <si>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</si>
  <si>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</si>
  <si>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</si>
  <si>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</si>
  <si>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</si>
  <si>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</si>
  <si>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</si>
  <si>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</si>
  <si>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</si>
  <si>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</si>
  <si>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</si>
  <si>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</si>
  <si>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</si>
  <si>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</si>
  <si>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</si>
  <si>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</si>
  <si>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</si>
  <si>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</si>
  <si>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</si>
  <si>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</si>
  <si>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</si>
  <si>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</si>
  <si>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</si>
  <si>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</si>
  <si>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</si>
  <si>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</si>
  <si>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</si>
  <si>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</si>
  <si>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</si>
  <si>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</si>
  <si>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</si>
  <si>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</si>
  <si>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</si>
  <si>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</si>
  <si>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</si>
  <si>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</si>
  <si>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</si>
  <si>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</si>
  <si>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</si>
  <si>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</si>
  <si>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</si>
  <si>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</si>
  <si>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</si>
  <si>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</si>
  <si>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</si>
  <si>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</si>
  <si>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</si>
  <si>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</si>
  <si>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</si>
  <si>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</si>
  <si>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</si>
  <si>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</si>
  <si>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</si>
  <si>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</si>
  <si>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</si>
  <si>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</si>
  <si>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</si>
  <si>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</si>
  <si>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</si>
  <si>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</si>
  <si>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</si>
  <si>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</si>
  <si>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</si>
  <si>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</si>
  <si>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</si>
  <si>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</si>
  <si>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</si>
  <si>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</si>
  <si>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</si>
  <si>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</si>
  <si>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</si>
  <si>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</si>
  <si>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</si>
  <si>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</si>
  <si>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</si>
  <si>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</si>
  <si>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</si>
  <si>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</si>
  <si>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</si>
  <si>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</si>
  <si>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</si>
  <si>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</si>
  <si>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</si>
  <si>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</si>
  <si>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</si>
  <si>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</si>
  <si>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</si>
  <si>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</si>
  <si>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</si>
  <si>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</si>
  <si>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</si>
  <si>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</si>
  <si>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</si>
  <si>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</si>
  <si>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</si>
  <si>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</si>
  <si>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</si>
  <si>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</si>
  <si>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</si>
  <si>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</si>
  <si>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</si>
  <si>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</si>
  <si>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</si>
  <si>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</si>
  <si>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</si>
  <si>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</si>
  <si>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</si>
  <si>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</si>
  <si>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</si>
  <si>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</si>
  <si>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</si>
  <si>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</si>
  <si>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</si>
  <si>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</si>
  <si>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</si>
  <si>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</si>
  <si>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</si>
  <si>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</si>
  <si>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</si>
  <si>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</si>
  <si>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</si>
  <si>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</si>
  <si>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</si>
  <si>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</si>
  <si>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</si>
  <si>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</si>
  <si>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</si>
  <si>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</si>
  <si>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</si>
  <si>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</si>
  <si>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</si>
  <si>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</si>
  <si>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</si>
  <si>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</si>
  <si>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</si>
  <si>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</si>
  <si>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</si>
  <si>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</si>
  <si>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</si>
  <si>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</si>
  <si>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</si>
  <si>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</si>
  <si>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</si>
  <si>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</si>
  <si>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</si>
  <si>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</si>
  <si>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</si>
  <si>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</si>
  <si>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</si>
  <si>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</si>
  <si>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</si>
  <si>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</si>
  <si>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</si>
  <si>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</si>
  <si>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</si>
  <si>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</si>
  <si>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</si>
  <si>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</si>
  <si>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</si>
  <si>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</si>
  <si>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</si>
  <si>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</si>
  <si>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</si>
  <si>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</si>
  <si>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</si>
  <si>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</si>
  <si>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</si>
  <si>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</si>
  <si>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</si>
  <si>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</si>
  <si>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</si>
  <si>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</si>
  <si>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</si>
  <si>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</si>
  <si>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</si>
  <si>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</si>
  <si>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</si>
  <si>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</si>
  <si>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</si>
  <si>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</si>
  <si>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</si>
  <si>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</si>
  <si>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</si>
  <si>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</si>
  <si>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</si>
  <si>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</si>
  <si>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</si>
  <si>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</si>
  <si>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</si>
  <si>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</si>
  <si>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</si>
  <si>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</si>
  <si>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</si>
  <si>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</si>
  <si>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</si>
  <si>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</si>
  <si>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</si>
  <si>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</si>
  <si>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</si>
  <si>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</si>
  <si>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</si>
  <si>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</si>
  <si>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</si>
  <si>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</si>
  <si>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</si>
  <si>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</si>
  <si>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</si>
  <si>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</si>
  <si>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</si>
  <si>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</si>
  <si>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</si>
  <si>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</si>
  <si>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</si>
  <si>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</si>
  <si>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</si>
  <si>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</si>
  <si>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</si>
  <si>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</si>
  <si>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</si>
  <si>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</si>
  <si>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</si>
  <si>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</si>
  <si>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</si>
  <si>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</si>
  <si>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</si>
  <si>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</si>
  <si>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</si>
  <si>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</si>
  <si>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</si>
  <si>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</si>
  <si>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</si>
  <si>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</si>
  <si>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</si>
  <si>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</si>
  <si>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</si>
  <si>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</si>
  <si>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</si>
  <si>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</si>
  <si>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</si>
  <si>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</si>
  <si>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</si>
  <si>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</si>
  <si>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</si>
  <si>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</si>
  <si>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</si>
  <si>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</si>
  <si>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</si>
  <si>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</si>
  <si>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</si>
  <si>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</si>
  <si>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</si>
  <si>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</si>
  <si>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</si>
  <si>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</si>
  <si>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</si>
  <si>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</si>
  <si>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</si>
  <si>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</si>
  <si>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</si>
  <si>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</si>
  <si>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</si>
  <si>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</si>
  <si>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</si>
  <si>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</si>
  <si>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</si>
  <si>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</si>
  <si>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</si>
  <si>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</si>
  <si>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</si>
  <si>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</si>
  <si>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</si>
  <si>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</si>
  <si>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</si>
  <si>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</si>
  <si>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</si>
  <si>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</si>
  <si>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</si>
  <si>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</si>
  <si>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</si>
  <si>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</si>
  <si>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</si>
  <si>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</si>
  <si>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</si>
  <si>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</si>
  <si>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</si>
  <si>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</si>
  <si>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</si>
  <si>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</si>
  <si>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</si>
  <si>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</si>
  <si>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</si>
  <si>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</si>
  <si>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</si>
  <si>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</si>
  <si>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</si>
  <si>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</si>
  <si>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</si>
  <si>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</si>
  <si>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</si>
  <si>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</si>
  <si>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</si>
  <si>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</si>
  <si>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</si>
  <si>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</si>
  <si>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</si>
  <si>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</si>
  <si>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</si>
  <si>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</si>
  <si>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</si>
  <si>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</si>
  <si>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</si>
  <si>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</si>
  <si>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</si>
  <si>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</si>
  <si>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</si>
  <si>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</si>
  <si>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</si>
  <si>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</si>
  <si>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</si>
  <si>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</si>
  <si>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</si>
  <si>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</si>
  <si>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</si>
  <si>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</si>
  <si>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</si>
  <si>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</si>
  <si>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</si>
  <si>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</si>
  <si>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</si>
  <si>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</si>
  <si>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</si>
  <si>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</si>
  <si>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</si>
  <si>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</si>
  <si>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</si>
  <si>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</si>
  <si>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</si>
  <si>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</si>
  <si>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</si>
  <si>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</si>
  <si>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</si>
  <si>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</si>
  <si>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</si>
  <si>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</si>
  <si>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</si>
  <si>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</si>
  <si>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</si>
  <si>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</si>
  <si>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</si>
  <si>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</si>
  <si>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</si>
  <si>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</si>
  <si>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</si>
  <si>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</si>
  <si>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</si>
  <si>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</si>
  <si>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</si>
  <si>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</si>
  <si>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</si>
  <si>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</si>
  <si>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</si>
  <si>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</si>
  <si>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</si>
  <si>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</si>
  <si>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</si>
  <si>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</si>
  <si>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</si>
  <si>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</si>
  <si>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</si>
  <si>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</si>
  <si>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</si>
  <si>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</si>
  <si>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</si>
  <si>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</si>
  <si>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</si>
  <si>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</si>
  <si>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</si>
  <si>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</si>
  <si>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</si>
  <si>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</si>
  <si>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</si>
  <si>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</si>
  <si>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</si>
  <si>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</si>
  <si>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</si>
  <si>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</si>
  <si>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</si>
  <si>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</si>
  <si>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</si>
  <si>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</si>
  <si>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</si>
  <si>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</si>
  <si>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</si>
  <si>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</si>
  <si>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</si>
  <si>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</si>
  <si>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</si>
  <si>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</si>
  <si>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</si>
  <si>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</si>
  <si>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</si>
  <si>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</si>
  <si>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</si>
  <si>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</si>
  <si>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</si>
  <si>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</si>
  <si>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</si>
  <si>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</si>
  <si>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</si>
  <si>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</si>
  <si>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</si>
  <si>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</si>
  <si>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</si>
  <si>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</si>
  <si>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</si>
  <si>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</si>
  <si>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</si>
  <si>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</si>
  <si>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</si>
  <si>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</si>
  <si>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</si>
  <si>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</si>
  <si>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</si>
  <si>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</si>
  <si>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</si>
  <si>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</si>
  <si>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</si>
  <si>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</si>
  <si>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</si>
  <si>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</si>
  <si>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</si>
  <si>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</si>
  <si>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</si>
  <si>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</si>
  <si>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</si>
  <si>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</si>
  <si>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</si>
  <si>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</si>
  <si>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</si>
  <si>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</si>
  <si>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</si>
  <si>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</si>
  <si>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</si>
  <si>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</si>
  <si>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</si>
  <si>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</si>
  <si>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</si>
  <si>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</si>
  <si>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</si>
  <si>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</si>
  <si>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</si>
  <si>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</si>
  <si>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</si>
  <si>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</si>
  <si>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</si>
  <si>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</si>
  <si>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</si>
  <si>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</si>
  <si>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</si>
  <si>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</si>
  <si>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</si>
  <si>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</si>
  <si>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</si>
  <si>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</si>
  <si>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</si>
  <si>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</si>
  <si>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</si>
  <si>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</si>
  <si>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</si>
  <si>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</si>
  <si>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</si>
  <si>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</si>
  <si>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</si>
  <si>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</si>
  <si>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</si>
  <si>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</si>
  <si>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</si>
  <si>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</si>
  <si>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</si>
  <si>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</si>
  <si>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</si>
  <si>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</si>
  <si>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</si>
  <si>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</si>
  <si>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</si>
  <si>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</si>
  <si>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</si>
  <si>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</si>
  <si>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</si>
  <si>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</si>
  <si>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</si>
  <si>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</si>
  <si>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</si>
  <si>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</si>
  <si>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</si>
  <si>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</si>
  <si>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</si>
  <si>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</si>
  <si>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</si>
  <si>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</si>
  <si>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</si>
  <si>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</si>
  <si>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</si>
  <si>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</si>
  <si>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</si>
  <si>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</si>
  <si>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</si>
  <si>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</si>
  <si>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</si>
  <si>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</si>
  <si>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</si>
  <si>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</si>
  <si>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</si>
  <si>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</si>
  <si>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</si>
  <si>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</si>
  <si>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</si>
  <si>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</si>
  <si>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</si>
  <si>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</si>
  <si>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</si>
  <si>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</si>
  <si>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</si>
  <si>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</si>
  <si>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</si>
  <si>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</si>
  <si>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</si>
  <si>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</si>
  <si>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</si>
  <si>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</si>
  <si>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</si>
  <si>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</si>
  <si>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</si>
  <si>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</si>
  <si>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</si>
  <si>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</si>
  <si>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</si>
  <si>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</si>
  <si>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</si>
  <si>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</si>
  <si>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</si>
  <si>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</si>
  <si>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</si>
  <si>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</si>
  <si>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</si>
  <si>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</si>
  <si>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</si>
  <si>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</si>
  <si>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</si>
  <si>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</si>
  <si>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</si>
  <si>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</si>
  <si>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</si>
  <si>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</si>
  <si>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</si>
  <si>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</si>
  <si>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</si>
  <si>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</si>
  <si>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</si>
  <si>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</si>
  <si>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</si>
  <si>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</si>
  <si>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</si>
  <si>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</si>
  <si>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</si>
  <si>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</si>
  <si>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</si>
  <si>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</si>
  <si>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</si>
  <si>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</si>
  <si>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</si>
  <si>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</si>
  <si>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</si>
  <si>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</si>
  <si>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</si>
  <si>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</si>
  <si>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</si>
  <si>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</si>
  <si>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</si>
  <si>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</si>
  <si>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</si>
  <si>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</si>
  <si>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</si>
  <si>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</si>
  <si>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</si>
  <si>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</si>
  <si>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</si>
  <si>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</si>
  <si>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</si>
  <si>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</si>
  <si>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</si>
  <si>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</si>
  <si>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</si>
  <si>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</si>
  <si>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</si>
  <si>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</si>
  <si>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</si>
  <si>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</si>
  <si>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</si>
  <si>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</si>
  <si>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</si>
  <si>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</si>
  <si>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</si>
  <si>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</si>
  <si>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</si>
  <si>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</si>
  <si>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</si>
  <si>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</si>
  <si>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</si>
  <si>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</si>
  <si>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</si>
  <si>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</si>
  <si>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</si>
  <si>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</si>
  <si>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</si>
  <si>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</si>
  <si>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</si>
  <si>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</si>
  <si>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</si>
  <si>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</si>
  <si>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</si>
  <si>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</si>
  <si>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</si>
  <si>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</si>
  <si>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</si>
  <si>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</si>
  <si>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</si>
  <si>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</si>
  <si>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</si>
  <si>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</si>
  <si>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</si>
  <si>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</si>
  <si>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</si>
  <si>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</si>
  <si>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</si>
  <si>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</si>
  <si>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</si>
  <si>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</si>
  <si>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</si>
  <si>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</si>
  <si>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</si>
  <si>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</si>
  <si>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</si>
  <si>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</si>
  <si>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</si>
  <si>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</si>
  <si>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</si>
  <si>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</si>
  <si>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</si>
  <si>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</si>
  <si>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</si>
  <si>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</si>
  <si>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</si>
  <si>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</si>
  <si>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</si>
  <si>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</si>
  <si>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</si>
  <si>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</si>
  <si>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</si>
  <si>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</si>
  <si>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</si>
  <si>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</si>
  <si>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</si>
  <si>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</si>
  <si>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</si>
  <si>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</si>
  <si>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</si>
  <si>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</si>
  <si>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</si>
  <si>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</si>
  <si>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</si>
  <si>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</si>
  <si>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</si>
  <si>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</si>
  <si>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</si>
  <si>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</si>
  <si>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</si>
  <si>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</si>
  <si>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</si>
  <si>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</si>
  <si>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</si>
  <si>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</si>
  <si>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</si>
  <si>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</si>
  <si>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</si>
  <si>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</si>
  <si>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</si>
  <si>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</si>
  <si>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</si>
  <si>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</si>
  <si>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</si>
  <si>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</si>
  <si>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</si>
  <si>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</si>
  <si>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</si>
  <si>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</si>
  <si>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</si>
  <si>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</si>
  <si>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</si>
  <si>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</si>
  <si>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</si>
  <si>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</si>
  <si>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</si>
  <si>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</si>
  <si>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</si>
  <si>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</si>
  <si>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</si>
  <si>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</si>
  <si>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</si>
  <si>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</si>
  <si>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</si>
  <si>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</si>
  <si>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</si>
  <si>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</si>
  <si>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</si>
  <si>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</si>
  <si>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</si>
  <si>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</si>
  <si>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</si>
  <si>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</si>
  <si>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</si>
  <si>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</si>
  <si>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</si>
  <si>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</si>
  <si>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</si>
  <si>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</si>
  <si>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</si>
  <si>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</si>
  <si>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</si>
  <si>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</si>
  <si>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</si>
  <si>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</si>
  <si>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</si>
  <si>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</si>
  <si>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</si>
  <si>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</si>
  <si>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</si>
  <si>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</si>
  <si>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</si>
  <si>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</si>
  <si>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</si>
  <si>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</si>
  <si>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</si>
  <si>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</si>
  <si>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</si>
  <si>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</si>
  <si>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</si>
  <si>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</si>
  <si>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</si>
  <si>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</si>
  <si>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</si>
  <si>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</si>
  <si>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</si>
  <si>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</si>
  <si>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</si>
  <si>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</si>
  <si>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</si>
  <si>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</si>
  <si>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</si>
  <si>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</si>
  <si>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</si>
  <si>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</si>
  <si>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</si>
  <si>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</si>
  <si>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</si>
  <si>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</si>
  <si>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</si>
  <si>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</si>
  <si>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</si>
  <si>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</si>
  <si>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</si>
  <si>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</si>
  <si>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</si>
  <si>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</si>
  <si>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</si>
  <si>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</si>
  <si>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</si>
  <si>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</si>
  <si>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</si>
  <si>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</si>
  <si>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</si>
  <si>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</si>
  <si>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</si>
  <si>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</si>
  <si>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</si>
  <si>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</si>
  <si>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</si>
  <si>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</si>
  <si>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</si>
  <si>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</si>
  <si>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</si>
  <si>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</si>
  <si>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</si>
  <si>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</si>
  <si>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</si>
  <si>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</si>
  <si>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</si>
  <si>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</si>
  <si>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</si>
  <si>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</si>
  <si>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</si>
  <si>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</si>
  <si>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</si>
  <si>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</si>
  <si>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</si>
  <si>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</si>
  <si>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</si>
  <si>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</si>
  <si>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</si>
  <si>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</si>
  <si>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</si>
  <si>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</si>
  <si>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</si>
  <si>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</si>
  <si>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</si>
  <si>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</si>
  <si>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</si>
  <si>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</si>
  <si>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</si>
  <si>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</si>
  <si>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</si>
  <si>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</si>
  <si>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</si>
  <si>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</si>
  <si>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</si>
  <si>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</si>
  <si>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</si>
  <si>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</si>
  <si>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</si>
  <si>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</si>
  <si>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</si>
  <si>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</si>
  <si>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</si>
  <si>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</si>
  <si>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</si>
  <si>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</si>
  <si>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</si>
  <si>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</si>
  <si>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</si>
  <si>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</si>
  <si>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</si>
  <si>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</si>
  <si>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</si>
  <si>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</si>
  <si>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</si>
  <si>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</si>
  <si>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</si>
  <si>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</si>
  <si>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</si>
  <si>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</si>
  <si>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</si>
  <si>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</si>
  <si>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</si>
  <si>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</si>
  <si>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</si>
  <si>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</si>
  <si>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</si>
  <si>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</si>
  <si>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</si>
  <si>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</si>
  <si>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</si>
  <si>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</si>
  <si>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</si>
  <si>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</si>
  <si>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</si>
  <si>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</si>
  <si>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</si>
  <si>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</si>
  <si>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</si>
  <si>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</si>
  <si>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</si>
  <si>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</si>
  <si>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</si>
  <si>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</si>
  <si>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</si>
  <si>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</si>
  <si>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</si>
  <si>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</si>
  <si>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</si>
  <si>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</si>
  <si>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</si>
  <si>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</si>
  <si>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</si>
  <si>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</si>
  <si>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</si>
  <si>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</si>
  <si>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</si>
  <si>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</si>
  <si>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</si>
  <si>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</si>
  <si>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</si>
  <si>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</si>
  <si>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</si>
  <si>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</si>
  <si>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</si>
  <si>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</si>
  <si>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</si>
  <si>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</si>
  <si>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</si>
  <si>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</si>
  <si>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</si>
  <si>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</si>
  <si>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</si>
  <si>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</si>
  <si>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</si>
  <si>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</si>
  <si>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</si>
  <si>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</si>
  <si>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</si>
  <si>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</si>
  <si>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</si>
  <si>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</si>
  <si>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</si>
  <si>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</si>
  <si>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</si>
  <si>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</si>
  <si>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</si>
  <si>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</si>
  <si>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</si>
  <si>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</si>
  <si>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</si>
  <si>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</si>
  <si>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</si>
  <si>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</si>
  <si>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</si>
  <si>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</si>
  <si>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</si>
  <si>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</si>
  <si>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</si>
  <si>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</si>
  <si>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</si>
  <si>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</si>
  <si>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</si>
  <si>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</si>
  <si>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</si>
  <si>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</si>
  <si>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</si>
  <si>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</si>
  <si>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</si>
  <si>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</si>
  <si>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</si>
  <si>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</si>
  <si>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</si>
  <si>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</si>
  <si>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</si>
  <si>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</si>
  <si>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</si>
  <si>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</si>
  <si>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</si>
  <si>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</si>
  <si>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</si>
  <si>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</si>
  <si>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</si>
  <si>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</si>
  <si>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</si>
  <si>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</si>
  <si>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</si>
  <si>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</si>
  <si>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</si>
  <si>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</si>
  <si>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</si>
  <si>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</si>
  <si>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</si>
  <si>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</si>
  <si>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</si>
  <si>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</si>
  <si>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</si>
  <si>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</si>
  <si>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</si>
  <si>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</si>
  <si>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</si>
  <si>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</si>
  <si>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</si>
  <si>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</si>
  <si>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</si>
  <si>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</si>
  <si>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</si>
  <si>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</si>
  <si>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</si>
  <si>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</si>
  <si>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</si>
  <si>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</si>
  <si>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</si>
  <si>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</si>
  <si>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</si>
  <si>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</si>
  <si>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</si>
  <si>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</si>
  <si>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</si>
  <si>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</si>
  <si>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</si>
  <si>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</si>
  <si>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</si>
  <si>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</si>
  <si>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</si>
  <si>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</si>
  <si>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</si>
  <si>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</si>
  <si>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</si>
  <si>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</si>
  <si>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</si>
  <si>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</si>
  <si>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</si>
  <si>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</si>
  <si>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</si>
  <si>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</si>
  <si>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</si>
  <si>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</si>
  <si>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</si>
  <si>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</si>
  <si>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</si>
  <si>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</si>
  <si>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</si>
  <si>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</si>
  <si>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</si>
  <si>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</si>
  <si>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</si>
  <si>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</si>
  <si>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</si>
  <si>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</si>
  <si>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</si>
  <si>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</si>
  <si>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</si>
  <si>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</si>
  <si>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</si>
  <si>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</si>
  <si>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</si>
  <si>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</si>
  <si>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</si>
  <si>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</si>
  <si>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</si>
  <si>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</si>
  <si>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</si>
  <si>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</si>
  <si>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</si>
  <si>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</si>
  <si>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</si>
  <si>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</si>
  <si>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</si>
  <si>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</si>
  <si>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</si>
  <si>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</si>
  <si>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</si>
  <si>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</si>
  <si>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</si>
  <si>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</si>
  <si>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</si>
  <si>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</si>
  <si>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</si>
  <si>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</si>
  <si>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</si>
  <si>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</si>
  <si>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</si>
  <si>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</si>
  <si>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</si>
  <si>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</si>
  <si>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</si>
  <si>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</si>
  <si>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</si>
  <si>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</si>
  <si>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</si>
  <si>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</si>
  <si>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</si>
  <si>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</si>
  <si>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</si>
  <si>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</si>
  <si>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</si>
  <si>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</si>
  <si>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</si>
  <si>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</si>
  <si>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</si>
  <si>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</si>
  <si>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</si>
  <si>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</si>
  <si>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</si>
  <si>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</si>
  <si>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</si>
  <si>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</si>
  <si>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</si>
  <si>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</si>
  <si>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</si>
  <si>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</si>
  <si>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</si>
  <si>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</si>
  <si>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</si>
  <si>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</si>
  <si>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</si>
  <si>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</si>
  <si>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</si>
  <si>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</si>
  <si>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</si>
  <si>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</si>
  <si>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</si>
  <si>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</si>
  <si>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</si>
  <si>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</si>
  <si>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</si>
  <si>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</si>
  <si>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</si>
  <si>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</si>
  <si>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</si>
  <si>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</si>
  <si>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</si>
  <si>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</si>
  <si>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</si>
  <si>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</si>
  <si>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</si>
  <si>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</si>
  <si>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</si>
  <si>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</si>
  <si>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</si>
  <si>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</si>
  <si>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</si>
  <si>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</si>
  <si>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</si>
  <si>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</si>
  <si>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</si>
  <si>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</si>
  <si>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</si>
  <si>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</si>
  <si>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</si>
  <si>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</si>
  <si>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</si>
  <si>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</si>
  <si>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</si>
  <si>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</si>
  <si>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</si>
  <si>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</si>
  <si>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</si>
  <si>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</si>
  <si>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</si>
  <si>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</si>
  <si>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</si>
  <si>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</si>
  <si>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</si>
  <si>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</si>
  <si>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</si>
  <si>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</si>
  <si>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</si>
  <si>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</si>
  <si>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</si>
  <si>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</si>
  <si>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</si>
  <si>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</si>
  <si>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</si>
  <si>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</si>
  <si>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</si>
  <si>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</si>
  <si>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</si>
  <si>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</si>
  <si>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</si>
  <si>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</si>
  <si>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</si>
  <si>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</si>
  <si>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</si>
  <si>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</si>
  <si>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</si>
  <si>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</si>
  <si>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</si>
  <si>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</si>
  <si>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</si>
  <si>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</si>
  <si>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</si>
  <si>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</si>
  <si>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</si>
  <si>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</si>
  <si>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</si>
  <si>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</si>
  <si>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</si>
  <si>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</si>
  <si>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</si>
  <si>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</si>
  <si>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</si>
  <si>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</si>
  <si>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</si>
  <si>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</si>
  <si>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</si>
  <si>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</si>
  <si>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</si>
  <si>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</si>
  <si>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</si>
  <si>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</si>
  <si>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</si>
  <si>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</si>
  <si>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</si>
  <si>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</si>
  <si>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</si>
  <si>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</si>
  <si>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</si>
  <si>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</si>
  <si>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</si>
  <si>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</si>
  <si>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</si>
  <si>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</si>
  <si>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</si>
  <si>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</si>
  <si>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</si>
  <si>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</si>
  <si>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</si>
  <si>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</si>
  <si>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</si>
  <si>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</si>
  <si>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</si>
  <si>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</si>
  <si>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</si>
  <si>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</si>
  <si>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</si>
  <si>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</si>
  <si>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</si>
  <si>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</si>
  <si>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</si>
  <si>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</si>
  <si>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</si>
  <si>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</si>
  <si>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</si>
  <si>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</si>
  <si>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</si>
  <si>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</si>
  <si>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</si>
  <si>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</si>
  <si>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</si>
  <si>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</si>
  <si>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</si>
  <si>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</si>
  <si>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</si>
  <si>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</si>
  <si>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</si>
  <si>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</si>
  <si>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</si>
  <si>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</si>
  <si>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</si>
  <si>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</si>
  <si>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</si>
  <si>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</si>
  <si>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</si>
  <si>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</si>
  <si>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</si>
  <si>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</si>
  <si>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</si>
  <si>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</si>
  <si>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</si>
  <si>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</si>
  <si>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</si>
  <si>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</si>
  <si>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</si>
  <si>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</si>
  <si>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</si>
  <si>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</si>
  <si>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</si>
  <si>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</si>
  <si>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</si>
  <si>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</si>
  <si>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</si>
  <si>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</si>
  <si>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</si>
  <si>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</si>
  <si>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</si>
  <si>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</si>
  <si>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</si>
  <si>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</si>
  <si>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</si>
  <si>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</si>
  <si>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</si>
  <si>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</si>
  <si>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</si>
  <si>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</si>
  <si>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</si>
  <si>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</si>
  <si>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</si>
  <si>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</si>
  <si>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</si>
  <si>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</si>
  <si>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</si>
  <si>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</si>
  <si>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</si>
  <si>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</si>
  <si>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</si>
  <si>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</si>
  <si>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</si>
  <si>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</si>
  <si>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</si>
  <si>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</si>
  <si>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</si>
  <si>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</si>
  <si>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</si>
  <si>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</si>
  <si>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</si>
  <si>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</si>
  <si>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</si>
  <si>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</si>
  <si>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</si>
  <si>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</si>
  <si>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</si>
  <si>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</si>
  <si>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</si>
  <si>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</si>
  <si>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</si>
  <si>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</si>
  <si>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</si>
  <si>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</si>
  <si>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</si>
  <si>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</si>
  <si>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</si>
  <si>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</si>
  <si>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</si>
  <si>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</si>
  <si>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</si>
  <si>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</si>
  <si>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</si>
  <si>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</si>
  <si>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</si>
  <si>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</si>
  <si>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</si>
  <si>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</si>
  <si>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</si>
  <si>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</si>
  <si>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</si>
  <si>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</si>
  <si>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</si>
  <si>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</si>
  <si>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</si>
  <si>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</si>
  <si>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</si>
  <si>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</si>
  <si>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</si>
  <si>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</si>
  <si>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</si>
  <si>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</si>
  <si>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</si>
  <si>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</si>
  <si>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</si>
  <si>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</si>
  <si>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</si>
  <si>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</si>
  <si>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</si>
  <si>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</si>
  <si>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</si>
  <si>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</si>
  <si>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</si>
  <si>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</si>
  <si>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</si>
  <si>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</si>
  <si>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</si>
  <si>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</si>
  <si>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</si>
  <si>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</si>
  <si>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</si>
  <si>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</si>
  <si>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</si>
  <si>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</si>
  <si>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</si>
  <si>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</si>
  <si>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</si>
  <si>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</si>
  <si>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</si>
  <si>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</si>
  <si>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</si>
  <si>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</si>
  <si>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</si>
  <si>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</si>
  <si>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</si>
  <si>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</si>
  <si>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</si>
  <si>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</si>
  <si>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</si>
  <si>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</si>
  <si>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</si>
  <si>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</si>
  <si>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</si>
  <si>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</si>
  <si>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</si>
  <si>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</si>
  <si>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</si>
  <si>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</si>
  <si>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</si>
  <si>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</si>
  <si>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</si>
  <si>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</si>
  <si>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</si>
  <si>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</si>
  <si>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</si>
  <si>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</si>
  <si>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</si>
  <si>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</si>
  <si>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</si>
  <si>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</si>
  <si>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</si>
  <si>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</si>
  <si>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</si>
  <si>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</si>
  <si>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</si>
  <si>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</si>
  <si>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</si>
  <si>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</si>
  <si>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</si>
  <si>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</si>
  <si>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</si>
  <si>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</si>
  <si>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</si>
  <si>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</si>
  <si>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</si>
  <si>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</si>
  <si>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</si>
  <si>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</si>
  <si>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</si>
  <si>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</si>
  <si>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</si>
  <si>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</si>
  <si>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</si>
  <si>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</si>
  <si>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</si>
  <si>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</si>
  <si>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</si>
  <si>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</si>
  <si>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</si>
  <si>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</si>
  <si>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</si>
  <si>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</si>
  <si>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</si>
  <si>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</si>
  <si>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</si>
  <si>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</si>
  <si>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</si>
  <si>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</si>
  <si>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</si>
  <si>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</si>
  <si>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</si>
  <si>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</si>
  <si>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</si>
  <si>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</si>
  <si>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</si>
  <si>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</si>
  <si>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</si>
  <si>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</si>
  <si>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</si>
  <si>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</si>
  <si>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</si>
  <si>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</si>
  <si>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</si>
  <si>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</si>
  <si>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</si>
  <si>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</si>
  <si>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</si>
  <si>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</si>
  <si>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</si>
  <si>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</si>
  <si>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</si>
  <si>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</si>
  <si>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</si>
  <si>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</si>
  <si>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</si>
  <si>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</si>
  <si>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</si>
  <si>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</si>
  <si>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</si>
  <si>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</si>
  <si>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</si>
  <si>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</si>
  <si>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</si>
  <si>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</si>
  <si>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</si>
  <si>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</si>
  <si>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</si>
  <si>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</si>
  <si>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</si>
  <si>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</si>
  <si>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</si>
  <si>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</si>
  <si>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</si>
  <si>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</si>
  <si>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</si>
  <si>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</si>
  <si>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</si>
  <si>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</si>
  <si>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</si>
  <si>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</si>
  <si>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</si>
  <si>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</si>
  <si>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</si>
  <si>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</si>
  <si>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</si>
  <si>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</si>
  <si>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</si>
  <si>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</si>
  <si>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</si>
  <si>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</si>
  <si>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</si>
  <si>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</si>
  <si>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</si>
  <si>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</si>
  <si>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</si>
  <si>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</si>
  <si>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</si>
  <si>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</si>
  <si>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</si>
  <si>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</si>
  <si>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</si>
  <si>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</si>
  <si>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</si>
  <si>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</si>
  <si>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</si>
  <si>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</si>
  <si>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</si>
  <si>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</si>
  <si>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</si>
  <si>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</si>
  <si>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</si>
  <si>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</si>
  <si>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</si>
  <si>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</si>
  <si>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</si>
  <si>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</si>
  <si>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</si>
  <si>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</si>
  <si>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</si>
  <si>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</si>
  <si>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</si>
  <si>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</si>
  <si>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</si>
  <si>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</si>
  <si>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</si>
  <si>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</si>
  <si>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</si>
  <si>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</si>
  <si>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</si>
  <si>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</si>
  <si>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</si>
  <si>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</si>
  <si>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</si>
  <si>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</si>
  <si>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</si>
  <si>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</si>
  <si>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</si>
  <si>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</si>
  <si>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</si>
  <si>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</si>
  <si>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</si>
  <si>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</si>
  <si>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</si>
  <si>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</si>
  <si>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</si>
  <si>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</si>
  <si>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</si>
  <si>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</si>
  <si>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</si>
  <si>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</si>
  <si>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</si>
  <si>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</si>
  <si>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</si>
  <si>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</si>
  <si>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</si>
  <si>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</si>
  <si>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</si>
  <si>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</si>
  <si>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</si>
  <si>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</si>
  <si>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</si>
  <si>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</si>
  <si>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</si>
  <si>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</si>
  <si>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</si>
  <si>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</si>
  <si>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</si>
  <si>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</si>
  <si>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</si>
  <si>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</si>
  <si>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</si>
  <si>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</si>
  <si>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</si>
  <si>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</si>
  <si>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</si>
  <si>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</si>
  <si>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</si>
  <si>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</si>
  <si>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</si>
  <si>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</si>
  <si>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</si>
  <si>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</si>
  <si>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</si>
  <si>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</si>
  <si>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</si>
  <si>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</si>
  <si>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</si>
  <si>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</si>
  <si>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</si>
  <si>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</si>
  <si>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</si>
  <si>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</si>
  <si>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</si>
  <si>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</si>
  <si>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</si>
  <si>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</si>
  <si>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</si>
  <si>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</si>
  <si>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</si>
  <si>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</si>
  <si>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</si>
  <si>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</si>
  <si>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</si>
  <si>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</si>
  <si>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</si>
  <si>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</si>
  <si>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</si>
  <si>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</si>
  <si>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</si>
  <si>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</si>
  <si>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</si>
  <si>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</si>
  <si>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</si>
  <si>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</si>
  <si>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</si>
  <si>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</si>
  <si>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</si>
  <si>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</si>
  <si>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</si>
  <si>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</si>
  <si>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</si>
  <si>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</si>
  <si>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</si>
  <si>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</si>
  <si>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</si>
  <si>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</si>
  <si>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</si>
  <si>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</si>
  <si>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</si>
  <si>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</si>
  <si>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</si>
  <si>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</si>
  <si>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</si>
  <si>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</si>
  <si>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</si>
  <si>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</si>
  <si>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</si>
  <si>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</si>
  <si>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</si>
  <si>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</si>
  <si>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</si>
  <si>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</si>
  <si>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</si>
  <si>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</si>
  <si>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</si>
  <si>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</si>
  <si>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</si>
  <si>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</si>
  <si>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</si>
  <si>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</si>
  <si>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</si>
  <si>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</si>
  <si>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</si>
  <si>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</si>
  <si>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</si>
  <si>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</si>
  <si>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</si>
  <si>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</si>
  <si>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</si>
  <si>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</si>
  <si>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</si>
  <si>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</si>
  <si>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</si>
  <si>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</si>
  <si>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</si>
  <si>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</si>
  <si>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</si>
  <si>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</si>
  <si>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</si>
  <si>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</si>
  <si>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</si>
  <si>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</si>
  <si>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</si>
  <si>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</si>
  <si>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</si>
  <si>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</si>
  <si>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</si>
  <si>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</si>
  <si>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</si>
  <si>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</si>
  <si>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</si>
  <si>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</si>
  <si>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</si>
  <si>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</si>
  <si>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</si>
  <si>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</si>
  <si>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</si>
  <si>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</si>
  <si>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</si>
  <si>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</si>
  <si>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</si>
  <si>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</si>
  <si>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</si>
  <si>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</si>
  <si>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</si>
  <si>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</si>
  <si>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</si>
  <si>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</si>
  <si>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</si>
  <si>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</si>
  <si>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</si>
  <si>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</si>
  <si>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</si>
  <si>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</si>
  <si>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</si>
  <si>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</si>
  <si>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</si>
  <si>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</si>
  <si>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</si>
  <si>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</si>
  <si>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</si>
  <si>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</si>
  <si>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</si>
  <si>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</si>
  <si>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</si>
  <si>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</si>
  <si>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</si>
  <si>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</si>
  <si>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</si>
  <si>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</si>
  <si>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</si>
  <si>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</si>
  <si>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</si>
  <si>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</si>
  <si>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</si>
  <si>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</si>
  <si>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</si>
  <si>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</si>
  <si>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</si>
  <si>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</si>
  <si>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</si>
  <si>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</si>
  <si>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</si>
  <si>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</si>
  <si>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</si>
  <si>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</si>
  <si>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</si>
  <si>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</si>
  <si>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</si>
  <si>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</si>
  <si>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</si>
  <si>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</si>
  <si>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</si>
  <si>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</si>
  <si>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</si>
  <si>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</si>
  <si>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</si>
  <si>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</si>
  <si>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</si>
  <si>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</si>
  <si>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</si>
  <si>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</si>
  <si>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</si>
  <si>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</si>
  <si>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</si>
  <si>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</si>
  <si>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</si>
  <si>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</si>
  <si>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</si>
  <si>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</si>
  <si>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</si>
  <si>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</si>
  <si>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</si>
  <si>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</si>
  <si>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</si>
  <si>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</si>
  <si>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</si>
  <si>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</si>
  <si>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</si>
  <si>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</si>
  <si>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</si>
  <si>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</si>
  <si>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</si>
  <si>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</si>
  <si>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</si>
  <si>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</si>
  <si>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</si>
  <si>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</si>
  <si>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</si>
  <si>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</si>
  <si>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</si>
  <si>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</si>
  <si>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</si>
  <si>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</si>
  <si>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</si>
  <si>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</si>
  <si>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</si>
  <si>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</si>
  <si>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</si>
  <si>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</si>
  <si>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</si>
  <si>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</si>
  <si>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</si>
  <si>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</si>
  <si>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</si>
  <si>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</si>
  <si>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</si>
  <si>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</si>
  <si>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</si>
  <si>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</si>
  <si>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</si>
  <si>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</si>
  <si>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</si>
  <si>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</si>
  <si>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</si>
  <si>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</si>
  <si>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</si>
  <si>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</si>
  <si>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</si>
  <si>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</si>
  <si>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</si>
  <si>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</si>
  <si>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</si>
  <si>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</si>
  <si>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</si>
  <si>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</si>
  <si>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</si>
  <si>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</si>
  <si>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</si>
  <si>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</si>
  <si>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</si>
  <si>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</si>
  <si>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</si>
  <si>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</si>
  <si>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</si>
  <si>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</si>
  <si>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</si>
  <si>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</si>
  <si>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</si>
  <si>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</si>
  <si>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</si>
  <si>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</si>
  <si>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</si>
  <si>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</si>
  <si>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</si>
  <si>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</si>
  <si>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</si>
  <si>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</si>
  <si>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</si>
  <si>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</si>
  <si>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</si>
  <si>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</si>
  <si>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</si>
  <si>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</si>
  <si>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</si>
  <si>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</si>
  <si>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</si>
  <si>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</si>
  <si>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</si>
  <si>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</si>
  <si>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</si>
  <si>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</si>
  <si>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</si>
  <si>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</si>
  <si>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</si>
  <si>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</si>
  <si>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</si>
  <si>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</si>
  <si>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</si>
  <si>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</si>
  <si>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</si>
  <si>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</si>
  <si>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</si>
  <si>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</si>
  <si>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</si>
  <si>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</si>
  <si>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</si>
  <si>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</si>
  <si>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</si>
  <si>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</si>
  <si>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</si>
  <si>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</si>
  <si>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</si>
  <si>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</si>
  <si>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</si>
  <si>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</si>
  <si>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</si>
  <si>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</si>
  <si>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</si>
  <si>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</si>
  <si>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</si>
  <si>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</si>
  <si>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</si>
  <si>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</si>
  <si>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</si>
  <si>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</si>
  <si>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</si>
  <si>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</si>
  <si>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</si>
  <si>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</si>
  <si>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</si>
  <si>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</si>
  <si>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</si>
  <si>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</si>
  <si>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</si>
  <si>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</si>
  <si>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</si>
  <si>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</si>
  <si>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</si>
  <si>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</si>
  <si>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</si>
  <si>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</si>
  <si>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</si>
  <si>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</si>
  <si>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</si>
  <si>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</si>
  <si>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</si>
  <si>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</si>
  <si>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</si>
  <si>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</si>
  <si>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</si>
  <si>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</si>
  <si>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</si>
  <si>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</si>
  <si>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</si>
  <si>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</si>
  <si>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</si>
  <si>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</si>
  <si>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</si>
  <si>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</si>
  <si>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</si>
  <si>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</si>
  <si>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</si>
  <si>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</si>
  <si>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</si>
  <si>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</si>
  <si>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</si>
  <si>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</si>
  <si>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</si>
  <si>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</si>
  <si>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</si>
  <si>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</si>
  <si>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</si>
  <si>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</si>
  <si>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</si>
  <si>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</si>
  <si>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</si>
  <si>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</si>
  <si>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</si>
  <si>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</si>
  <si>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</si>
  <si>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</si>
  <si>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</si>
  <si>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</si>
  <si>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</si>
  <si>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</si>
  <si>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</si>
  <si>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</si>
  <si>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</si>
  <si>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</si>
  <si>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</si>
  <si>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</si>
  <si>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</si>
  <si>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</si>
  <si>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</si>
  <si>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</si>
  <si>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</si>
  <si>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</si>
  <si>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</si>
  <si>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</si>
  <si>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</si>
  <si>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</si>
  <si>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</si>
  <si>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</si>
  <si>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</si>
  <si>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</si>
  <si>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</si>
  <si>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</si>
  <si>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</si>
  <si>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</si>
  <si>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</si>
  <si>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</si>
  <si>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</si>
  <si>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</si>
  <si>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</si>
  <si>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</si>
  <si>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</si>
  <si>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</si>
  <si>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</si>
  <si>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</si>
  <si>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</si>
  <si>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</si>
  <si>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</si>
  <si>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</si>
  <si>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</si>
  <si>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</si>
  <si>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</si>
  <si>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</si>
  <si>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</si>
  <si>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</si>
  <si>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</si>
  <si>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</si>
  <si>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</si>
  <si>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</si>
  <si>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</si>
  <si>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</si>
  <si>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</si>
  <si>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</si>
  <si>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</si>
  <si>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</si>
  <si>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</si>
  <si>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</si>
  <si>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</si>
  <si>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</si>
  <si>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</si>
  <si>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</si>
  <si>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</si>
  <si>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</si>
  <si>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</si>
  <si>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</si>
  <si>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</si>
  <si>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</si>
  <si>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</si>
  <si>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</si>
  <si>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</si>
  <si>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</si>
  <si>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</si>
  <si>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</si>
  <si>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</si>
  <si>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</si>
  <si>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</si>
  <si>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</si>
  <si>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</si>
  <si>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</si>
  <si>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</si>
  <si>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</si>
  <si>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</si>
  <si>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</si>
  <si>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</si>
  <si>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</si>
  <si>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</si>
  <si>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</si>
  <si>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</si>
  <si>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</si>
  <si>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</si>
  <si>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</si>
  <si>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</si>
  <si>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</si>
  <si>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</si>
  <si>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</si>
  <si>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</si>
  <si>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</si>
  <si>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</si>
  <si>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</si>
  <si>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</si>
  <si>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</si>
  <si>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</si>
  <si>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</si>
  <si>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</si>
  <si>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</si>
  <si>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</si>
  <si>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</si>
  <si>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</si>
  <si>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</si>
  <si>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</si>
  <si>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</si>
  <si>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</si>
  <si>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</si>
  <si>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</si>
  <si>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</si>
  <si>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</si>
  <si>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</si>
  <si>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</si>
  <si>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</si>
  <si>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</si>
  <si>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</si>
  <si>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</si>
  <si>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</si>
  <si>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</si>
  <si>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</si>
  <si>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</si>
  <si>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</si>
  <si>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</si>
  <si>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</si>
  <si>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</si>
  <si>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</si>
  <si>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</si>
  <si>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</si>
  <si>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</si>
  <si>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</si>
  <si>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</si>
  <si>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</si>
  <si>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</si>
  <si>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</si>
  <si>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</si>
  <si>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</si>
  <si>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</si>
  <si>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</si>
  <si>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</si>
  <si>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</si>
  <si>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</si>
  <si>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</si>
  <si>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</si>
  <si>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</si>
  <si>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</si>
  <si>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</si>
  <si>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</si>
  <si>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</si>
  <si>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</si>
  <si>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</si>
  <si>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</si>
  <si>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</si>
  <si>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</si>
  <si>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</si>
  <si>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</si>
  <si>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</si>
  <si>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</si>
  <si>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</si>
  <si>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</si>
  <si>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</si>
  <si>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</si>
  <si>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</si>
  <si>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</si>
  <si>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</si>
  <si>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</si>
  <si>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</si>
  <si>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</si>
  <si>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</si>
  <si>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</si>
  <si>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</si>
  <si>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</si>
  <si>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</si>
  <si>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</si>
  <si>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</si>
  <si>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</si>
  <si>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</si>
  <si>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</si>
  <si>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</si>
  <si>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</si>
  <si>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</si>
  <si>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</si>
  <si>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</si>
  <si>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</si>
  <si>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</si>
  <si>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</si>
  <si>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</si>
  <si>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</si>
  <si>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</si>
  <si>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</si>
  <si>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</si>
  <si>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</si>
  <si>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</si>
  <si>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</si>
  <si>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</si>
  <si>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</si>
  <si>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</si>
  <si>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</si>
  <si>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</si>
  <si>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</si>
  <si>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</si>
  <si>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</si>
  <si>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</si>
  <si>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</si>
  <si>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</si>
  <si>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</si>
  <si>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</si>
  <si>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</si>
  <si>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</si>
  <si>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</si>
  <si>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</si>
  <si>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</si>
  <si>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</si>
  <si>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</si>
  <si>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</si>
  <si>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</si>
  <si>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</si>
  <si>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</si>
  <si>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</si>
  <si>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</si>
  <si>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</si>
  <si>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</si>
  <si>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</si>
  <si>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</si>
  <si>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</si>
  <si>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</si>
  <si>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</si>
  <si>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</si>
  <si>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</si>
  <si>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</si>
  <si>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</si>
  <si>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</si>
  <si>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</si>
  <si>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</si>
  <si>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</si>
  <si>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</si>
  <si>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</si>
  <si>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</si>
  <si>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</si>
  <si>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</si>
  <si>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</si>
  <si>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</si>
  <si>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</si>
  <si>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</si>
  <si>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</si>
  <si>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</si>
  <si>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</si>
  <si>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</si>
  <si>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</si>
  <si>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</si>
  <si>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</si>
  <si>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</si>
  <si>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</si>
  <si>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</si>
  <si>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</si>
  <si>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</si>
  <si>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</si>
  <si>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</si>
  <si>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</si>
  <si>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</si>
  <si>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</si>
  <si>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</si>
  <si>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</si>
  <si>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</si>
  <si>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</si>
  <si>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</si>
  <si>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</si>
  <si>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</si>
  <si>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</si>
  <si>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</si>
  <si>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</si>
  <si>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</si>
  <si>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</si>
  <si>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</si>
  <si>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</si>
  <si>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</si>
  <si>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</si>
  <si>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</si>
  <si>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</si>
  <si>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</si>
  <si>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</si>
  <si>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</si>
  <si>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</si>
  <si>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</si>
  <si>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</si>
  <si>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</si>
  <si>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</si>
  <si>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</si>
  <si>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</si>
  <si>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</si>
  <si>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</si>
  <si>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</si>
  <si>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</si>
  <si>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</si>
  <si>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</si>
  <si>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</si>
  <si>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</si>
  <si>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</si>
  <si>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</si>
  <si>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</si>
  <si>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</si>
  <si>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</si>
  <si>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</si>
  <si>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</si>
  <si>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</si>
  <si>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</si>
  <si>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</si>
  <si>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</si>
  <si>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</si>
  <si>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</si>
  <si>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</si>
  <si>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</si>
  <si>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</si>
  <si>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</si>
  <si>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</si>
  <si>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</si>
  <si>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</si>
  <si>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</si>
  <si>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</si>
  <si>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</si>
  <si>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</si>
  <si>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</si>
  <si>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</si>
  <si>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</si>
  <si>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</si>
  <si>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</si>
  <si>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</si>
  <si>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</si>
  <si>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</si>
  <si>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</si>
  <si>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</si>
  <si>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</si>
  <si>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</si>
  <si>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</si>
  <si>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</si>
  <si>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</si>
  <si>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</si>
  <si>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</si>
  <si>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</si>
  <si>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</si>
  <si>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</si>
  <si>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</si>
  <si>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</si>
  <si>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</si>
  <si>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</si>
  <si>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</si>
  <si>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</si>
  <si>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</si>
  <si>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</si>
  <si>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</si>
  <si>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</si>
  <si>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</si>
  <si>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</si>
  <si>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</si>
  <si>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</si>
  <si>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</si>
  <si>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</si>
  <si>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</si>
  <si>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</si>
  <si>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</si>
  <si>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</si>
  <si>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</si>
  <si>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</si>
  <si>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</si>
  <si>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</si>
  <si>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</si>
  <si>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</si>
  <si>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</si>
  <si>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</si>
  <si>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</si>
  <si>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</si>
  <si>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</si>
  <si>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</si>
  <si>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</si>
  <si>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</si>
  <si>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</si>
  <si>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</si>
  <si>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</si>
  <si>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</si>
  <si>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</si>
  <si>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</si>
  <si>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</si>
  <si>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</si>
  <si>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</si>
  <si>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</si>
  <si>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</si>
  <si>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</si>
  <si>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</si>
  <si>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</si>
  <si>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</si>
  <si>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</si>
  <si>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</si>
  <si>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</si>
  <si>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</si>
  <si>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</si>
  <si>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</si>
  <si>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</si>
  <si>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</si>
  <si>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</si>
  <si>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</si>
  <si>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</si>
  <si>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</si>
  <si>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</si>
  <si>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</si>
  <si>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</si>
  <si>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</si>
  <si>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</si>
  <si>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</si>
  <si>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</si>
  <si>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</si>
  <si>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</si>
  <si>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</si>
  <si>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</si>
  <si>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</si>
  <si>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</si>
  <si>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</si>
  <si>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</si>
  <si>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</si>
  <si>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</si>
  <si>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</si>
  <si>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</si>
  <si>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</si>
  <si>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</si>
  <si>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</si>
  <si>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</si>
  <si>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</si>
  <si>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</si>
  <si>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</si>
  <si>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</si>
  <si>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</si>
  <si>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</si>
  <si>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</si>
  <si>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</si>
  <si>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</si>
  <si>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</si>
  <si>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</si>
  <si>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</si>
  <si>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</si>
  <si>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</si>
  <si>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</si>
  <si>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</si>
  <si>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</si>
  <si>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</si>
  <si>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</si>
  <si>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</si>
  <si>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</si>
  <si>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</si>
  <si>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</si>
  <si>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</si>
  <si>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</si>
  <si>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</si>
  <si>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</si>
  <si>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</si>
  <si>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</si>
  <si>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</si>
  <si>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</si>
  <si>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</si>
  <si>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</si>
  <si>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</si>
  <si>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</si>
  <si>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</si>
  <si>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</si>
  <si>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</si>
  <si>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</si>
  <si>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</si>
  <si>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</si>
  <si>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</si>
  <si>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</si>
  <si>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</si>
  <si>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</si>
  <si>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</si>
  <si>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</si>
  <si>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</si>
  <si>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</si>
  <si>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</si>
  <si>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</si>
  <si>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</si>
  <si>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</si>
  <si>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</si>
  <si>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</si>
  <si>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</si>
  <si>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</si>
  <si>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</si>
  <si>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</si>
  <si>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</si>
  <si>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</si>
  <si>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</si>
  <si>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</si>
  <si>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</si>
  <si>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</si>
  <si>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</si>
  <si>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</si>
  <si>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</si>
  <si>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</si>
  <si>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</si>
  <si>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</si>
  <si>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</si>
  <si>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</si>
  <si>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</si>
  <si>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</si>
  <si>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</si>
  <si>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</si>
  <si>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</si>
  <si>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</si>
  <si>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</si>
  <si>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</si>
  <si>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</si>
  <si>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</si>
  <si>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</si>
  <si>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</si>
  <si>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</si>
  <si>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</si>
  <si>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</si>
  <si>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</si>
  <si>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</si>
  <si>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</si>
  <si>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</si>
  <si>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</si>
  <si>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</si>
  <si>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</si>
  <si>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</si>
  <si>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</si>
  <si>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</si>
  <si>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</si>
  <si>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</si>
  <si>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</si>
  <si>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</si>
  <si>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</si>
  <si>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</si>
  <si>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</si>
  <si>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</si>
  <si>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</si>
  <si>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</si>
  <si>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</si>
  <si>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</si>
  <si>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</si>
  <si>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</si>
  <si>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</si>
  <si>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</si>
  <si>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</si>
  <si>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</si>
  <si>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</si>
  <si>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</si>
  <si>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</si>
  <si>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</si>
  <si>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</si>
  <si>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</si>
  <si>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</si>
  <si>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</si>
  <si>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</si>
  <si>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</si>
  <si>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</si>
  <si>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</si>
  <si>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</si>
  <si>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</si>
  <si>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</si>
  <si>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</si>
  <si>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</si>
  <si>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</si>
  <si>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</si>
  <si>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</si>
  <si>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</si>
  <si>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</si>
  <si>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</si>
  <si>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</si>
  <si>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</si>
  <si>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</si>
  <si>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</si>
  <si>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</si>
  <si>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</si>
  <si>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</si>
  <si>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</si>
  <si>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</si>
  <si>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</si>
  <si>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</si>
  <si>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</si>
  <si>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</si>
  <si>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</si>
  <si>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</si>
  <si>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</si>
  <si>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</si>
  <si>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</si>
  <si>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</si>
  <si>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</si>
  <si>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</si>
  <si>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</si>
  <si>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</si>
  <si>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</si>
  <si>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</si>
  <si>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</si>
  <si>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</si>
  <si>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</si>
  <si>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</si>
  <si>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</si>
  <si>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</si>
  <si>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</si>
  <si>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</si>
  <si>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</si>
  <si>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</si>
  <si>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</si>
  <si>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</si>
  <si>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</si>
  <si>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</si>
  <si>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</si>
  <si>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</si>
  <si>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</si>
  <si>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</si>
  <si>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</si>
  <si>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</si>
  <si>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</si>
  <si>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</si>
  <si>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</si>
  <si>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</si>
  <si>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</si>
  <si>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</si>
  <si>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</si>
  <si>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</si>
  <si>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</si>
  <si>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</si>
  <si>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</si>
  <si>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</si>
  <si>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</si>
  <si>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</si>
  <si>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</si>
  <si>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</si>
  <si>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</si>
  <si>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</si>
  <si>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</si>
  <si>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</si>
  <si>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</si>
  <si>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</si>
  <si>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</si>
  <si>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</si>
  <si>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</si>
  <si>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</si>
  <si>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</si>
  <si>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</si>
  <si>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</si>
  <si>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</si>
  <si>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</si>
  <si>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</si>
  <si>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</si>
  <si>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</si>
  <si>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</si>
  <si>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</si>
  <si>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</si>
  <si>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</si>
  <si>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</si>
  <si>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</si>
  <si>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</si>
  <si>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</si>
  <si>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</si>
  <si>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</si>
  <si>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</si>
  <si>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</si>
  <si>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</si>
  <si>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</si>
  <si>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</si>
  <si>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</si>
  <si>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</si>
  <si>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</si>
  <si>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</si>
  <si>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</si>
  <si>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</si>
  <si>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</si>
  <si>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</si>
  <si>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</si>
  <si>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</si>
  <si>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</si>
  <si>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</si>
  <si>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</si>
  <si>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</si>
  <si>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</si>
  <si>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</si>
  <si>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</si>
  <si>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</si>
  <si>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</si>
  <si>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</si>
  <si>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</si>
  <si>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</si>
  <si>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</si>
  <si>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</si>
  <si>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</si>
  <si>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</si>
  <si>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</si>
  <si>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</si>
  <si>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</si>
  <si>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</si>
  <si>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</si>
  <si>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</si>
  <si>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</si>
  <si>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</si>
  <si>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</si>
  <si>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</si>
  <si>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</si>
  <si>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</si>
  <si>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</si>
  <si>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</si>
  <si>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</si>
  <si>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</si>
  <si>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</si>
  <si>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</si>
  <si>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</si>
  <si>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</si>
  <si>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</si>
  <si>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</si>
  <si>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</si>
  <si>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</si>
  <si>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</si>
  <si>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</si>
  <si>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</si>
  <si>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</si>
  <si>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</si>
  <si>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</si>
  <si>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</si>
  <si>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</si>
  <si>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</si>
  <si>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</si>
  <si>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</si>
  <si>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</si>
  <si>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</si>
  <si>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</si>
  <si>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</si>
  <si>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</si>
  <si>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</si>
  <si>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</si>
  <si>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</si>
  <si>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</si>
  <si>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</si>
  <si>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</si>
  <si>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</si>
  <si>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</si>
  <si>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</si>
  <si>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</si>
  <si>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</si>
  <si>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</si>
  <si>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</si>
  <si>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</si>
  <si>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</si>
  <si>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</si>
  <si>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</si>
  <si>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</si>
  <si>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</si>
  <si>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</si>
  <si>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</si>
  <si>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</si>
  <si>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</si>
  <si>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</si>
  <si>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</si>
  <si>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</si>
  <si>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</si>
  <si>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</si>
  <si>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</si>
  <si>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</si>
  <si>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</si>
  <si>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</si>
  <si>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</si>
  <si>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</si>
  <si>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</si>
  <si>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</si>
  <si>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</si>
  <si>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</si>
  <si>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</si>
  <si>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</si>
  <si>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</si>
  <si>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</si>
  <si>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</si>
  <si>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</si>
  <si>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</si>
  <si>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</si>
  <si>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</si>
  <si>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</si>
  <si>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</si>
  <si>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</si>
  <si>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</si>
  <si>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</si>
  <si>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</si>
  <si>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</si>
  <si>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</si>
  <si>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</si>
  <si>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</si>
  <si>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</si>
  <si>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</si>
  <si>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</si>
  <si>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</si>
  <si>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</si>
  <si>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</si>
  <si>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</si>
  <si>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</si>
  <si>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</si>
  <si>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</si>
  <si>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</si>
  <si>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</si>
  <si>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</si>
  <si>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</si>
  <si>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</si>
  <si>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</si>
  <si>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</si>
  <si>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</si>
  <si>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</si>
  <si>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</si>
  <si>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</si>
  <si>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</si>
  <si>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</si>
  <si>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</si>
  <si>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</si>
  <si>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</si>
  <si>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</si>
  <si>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</si>
  <si>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</si>
  <si>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</si>
  <si>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</si>
  <si>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</si>
  <si>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</si>
  <si>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</si>
  <si>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</si>
  <si>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</si>
  <si>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</si>
  <si>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</si>
  <si>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</si>
  <si>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</si>
  <si>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</si>
  <si>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</si>
  <si>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</si>
  <si>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</si>
  <si>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</si>
  <si>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</si>
  <si>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</si>
  <si>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</si>
  <si>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</si>
  <si>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</si>
  <si>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</si>
  <si>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</si>
  <si>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</si>
  <si>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</si>
  <si>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</si>
  <si>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</si>
  <si>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</si>
  <si>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</si>
  <si>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</si>
  <si>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</si>
  <si>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</si>
  <si>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</si>
  <si>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</si>
  <si>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</si>
  <si>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</si>
  <si>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</si>
  <si>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</si>
  <si>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</si>
  <si>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</si>
  <si>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</si>
  <si>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</si>
  <si>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</si>
  <si>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</si>
  <si>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</si>
  <si>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</si>
  <si>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</si>
  <si>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</si>
  <si>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</si>
  <si>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</si>
  <si>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</si>
  <si>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</si>
  <si>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</si>
  <si>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</si>
  <si>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</si>
  <si>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</si>
  <si>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</si>
  <si>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</si>
  <si>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</si>
  <si>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</si>
  <si>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</si>
  <si>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</si>
  <si>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</si>
  <si>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</si>
  <si>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</si>
  <si>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</si>
  <si>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</si>
  <si>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</si>
  <si>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</si>
  <si>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</si>
  <si>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</si>
  <si>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</si>
  <si>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</si>
  <si>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</si>
  <si>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</si>
  <si>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</si>
  <si>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</si>
  <si>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</si>
  <si>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</si>
  <si>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</si>
  <si>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</si>
  <si>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</si>
  <si>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</si>
  <si>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</si>
  <si>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</si>
  <si>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</si>
  <si>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</si>
  <si>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</si>
  <si>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</si>
  <si>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</si>
  <si>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</si>
  <si>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</si>
  <si>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</si>
  <si>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</si>
  <si>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</si>
  <si>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</si>
  <si>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</si>
  <si>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</si>
  <si>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</si>
  <si>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</si>
  <si>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</si>
  <si>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</si>
  <si>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</si>
  <si>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</si>
  <si>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</si>
  <si>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</si>
  <si>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</si>
  <si>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</si>
  <si>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</si>
  <si>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</si>
  <si>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</si>
  <si>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</si>
  <si>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</si>
  <si>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</si>
  <si>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</si>
  <si>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</si>
  <si>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</si>
  <si>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</si>
  <si>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</si>
  <si>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</si>
  <si>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</si>
  <si>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</si>
  <si>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</si>
  <si>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</si>
  <si>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</si>
  <si>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</si>
  <si>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</si>
  <si>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</si>
  <si>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</si>
  <si>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</si>
  <si>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</si>
  <si>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</si>
  <si>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</si>
  <si>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</si>
  <si>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</si>
  <si>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</si>
  <si>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</si>
  <si>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</si>
  <si>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</si>
  <si>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</si>
  <si>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</si>
  <si>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</si>
  <si>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</si>
  <si>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</si>
  <si>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</si>
  <si>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</si>
  <si>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</si>
  <si>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</si>
  <si>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</si>
  <si>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</si>
  <si>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</si>
  <si>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</si>
  <si>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</si>
  <si>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</si>
  <si>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</si>
  <si>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</si>
  <si>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</si>
  <si>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</si>
  <si>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</si>
  <si>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</si>
  <si>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</si>
  <si>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</si>
  <si>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</si>
  <si>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</si>
  <si>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</si>
  <si>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</si>
  <si>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</si>
  <si>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</si>
  <si>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</si>
  <si>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</si>
  <si>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</si>
  <si>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</si>
  <si>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</si>
  <si>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</si>
  <si>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</si>
  <si>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</si>
  <si>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</si>
  <si>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</si>
  <si>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</si>
  <si>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</si>
  <si>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</si>
  <si>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</si>
  <si>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</si>
  <si>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</si>
  <si>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</si>
  <si>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</si>
  <si>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</si>
  <si>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</si>
  <si>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</si>
  <si>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</si>
  <si>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</si>
  <si>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</si>
  <si>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</si>
  <si>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</si>
  <si>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</si>
  <si>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</si>
  <si>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</si>
  <si>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</si>
  <si>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</si>
  <si>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</si>
  <si>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</si>
  <si>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</si>
  <si>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</si>
  <si>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</si>
  <si>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</si>
  <si>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</si>
  <si>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</si>
  <si>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</si>
  <si>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</si>
  <si>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</si>
  <si>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</si>
  <si>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</si>
  <si>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</si>
  <si>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</si>
  <si>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</si>
  <si>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</si>
  <si>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</si>
  <si>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</si>
  <si>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</si>
  <si>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</si>
  <si>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</si>
  <si>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</si>
  <si>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</si>
  <si>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</si>
  <si>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</si>
  <si>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</si>
  <si>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</si>
  <si>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</si>
  <si>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</si>
  <si>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</si>
  <si>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</si>
  <si>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</si>
  <si>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</si>
  <si>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</si>
  <si>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</si>
  <si>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</si>
  <si>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</si>
  <si>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</si>
  <si>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</si>
  <si>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</si>
  <si>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</si>
  <si>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</si>
  <si>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</si>
  <si>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</si>
  <si>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</si>
  <si>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</si>
  <si>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</si>
  <si>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</si>
  <si>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</si>
  <si>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</si>
  <si>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</si>
  <si>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</si>
  <si>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</si>
  <si>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</si>
  <si>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</si>
  <si>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</si>
  <si>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</si>
  <si>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</si>
  <si>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</si>
  <si>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</si>
  <si>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</si>
  <si>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</si>
  <si>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</si>
  <si>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</si>
  <si>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</si>
  <si>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</si>
  <si>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</si>
  <si>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</si>
  <si>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</si>
  <si>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</si>
  <si>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</si>
  <si>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</si>
  <si>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</si>
  <si>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</si>
  <si>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</si>
  <si>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</si>
  <si>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</si>
  <si>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</si>
  <si>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</si>
  <si>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</si>
  <si>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</si>
  <si>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</si>
  <si>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</si>
  <si>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</si>
  <si>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</si>
  <si>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</si>
  <si>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</si>
  <si>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</si>
  <si>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</si>
  <si>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</si>
  <si>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</si>
  <si>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</si>
  <si>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</si>
  <si>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</si>
  <si>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</si>
  <si>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</si>
  <si>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</si>
  <si>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</si>
  <si>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</si>
  <si>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</si>
  <si>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</si>
  <si>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</si>
  <si>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</si>
  <si>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</si>
  <si>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</si>
  <si>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</si>
  <si>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</si>
  <si>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</si>
  <si>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</si>
  <si>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</si>
  <si>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</si>
  <si>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</si>
  <si>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</si>
  <si>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</si>
  <si>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</si>
  <si>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</si>
  <si>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</si>
  <si>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</si>
  <si>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</si>
  <si>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</si>
  <si>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</si>
  <si>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</si>
  <si>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</si>
  <si>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</si>
  <si>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</si>
  <si>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</si>
  <si>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</si>
  <si>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</si>
  <si>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</si>
  <si>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</si>
  <si>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</si>
  <si>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</si>
  <si>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</si>
  <si>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</si>
  <si>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</si>
  <si>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</si>
  <si>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</si>
  <si>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</si>
  <si>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</si>
  <si>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</si>
  <si>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</si>
  <si>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</si>
  <si>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</si>
  <si>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</si>
  <si>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</si>
  <si>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</si>
  <si>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</si>
  <si>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</si>
  <si>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</si>
  <si>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</si>
  <si>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</si>
  <si>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</si>
  <si>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</si>
  <si>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</si>
  <si>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</si>
  <si>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</si>
  <si>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</si>
  <si>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</si>
  <si>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</si>
  <si>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</si>
  <si>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</si>
  <si>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</si>
  <si>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</si>
  <si>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</si>
  <si>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</si>
  <si>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</si>
  <si>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</si>
  <si>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</si>
  <si>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</si>
  <si>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</si>
  <si>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</si>
  <si>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</si>
  <si>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</si>
  <si>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</si>
  <si>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</si>
  <si>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</si>
  <si>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</si>
  <si>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</si>
  <si>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</si>
  <si>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</si>
  <si>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</si>
  <si>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</si>
  <si>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</si>
  <si>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</si>
  <si>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</si>
  <si>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</si>
  <si>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</si>
  <si>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</si>
  <si>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</si>
  <si>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</si>
  <si>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</si>
  <si>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</si>
  <si>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</si>
  <si>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</si>
  <si>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</si>
  <si>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</si>
  <si>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</si>
  <si>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</si>
  <si>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</si>
  <si>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</si>
  <si>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</si>
  <si>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</si>
  <si>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</si>
  <si>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</si>
  <si>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</si>
  <si>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</si>
  <si>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</si>
  <si>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</si>
  <si>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</si>
  <si>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</si>
  <si>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</si>
  <si>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</si>
  <si>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</si>
  <si>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</si>
  <si>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</si>
  <si>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</si>
  <si>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</si>
  <si>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</si>
  <si>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</si>
  <si>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</si>
  <si>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</si>
  <si>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</si>
  <si>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</si>
  <si>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</si>
  <si>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</si>
  <si>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</si>
  <si>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</si>
  <si>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</si>
  <si>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</si>
  <si>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</si>
  <si>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</si>
  <si>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</si>
  <si>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</si>
  <si>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</si>
  <si>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</si>
  <si>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</si>
  <si>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</si>
  <si>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</si>
  <si>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</si>
  <si>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</si>
  <si>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</si>
  <si>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</si>
  <si>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</si>
  <si>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</si>
  <si>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</si>
  <si>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</si>
  <si>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</si>
  <si>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</si>
  <si>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</si>
  <si>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</si>
  <si>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</si>
  <si>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</si>
  <si>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</si>
  <si>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</si>
  <si>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</si>
  <si>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</si>
  <si>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</si>
  <si>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</si>
  <si>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</si>
  <si>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</si>
  <si>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</si>
  <si>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</si>
  <si>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</si>
  <si>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</si>
  <si>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</si>
  <si>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</si>
  <si>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</si>
  <si>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</si>
  <si>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</si>
  <si>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</si>
  <si>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</si>
  <si>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</si>
  <si>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</si>
  <si>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</si>
  <si>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</si>
  <si>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</si>
  <si>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</si>
  <si>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</si>
  <si>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</si>
  <si>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</si>
  <si>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</si>
  <si>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</si>
  <si>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</si>
  <si>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</si>
  <si>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</si>
  <si>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</si>
  <si>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</si>
  <si>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</si>
  <si>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</si>
  <si>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</si>
  <si>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</si>
  <si>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</si>
  <si>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</si>
  <si>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</si>
  <si>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</si>
  <si>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</si>
  <si>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</si>
  <si>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</si>
  <si>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</si>
  <si>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</si>
  <si>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</si>
  <si>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</si>
  <si>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</si>
  <si>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</si>
  <si>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</si>
  <si>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</si>
  <si>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</si>
  <si>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</si>
  <si>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</si>
  <si>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</si>
  <si>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</si>
  <si>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</si>
  <si>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</si>
  <si>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</si>
  <si>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</si>
  <si>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</si>
  <si>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</si>
  <si>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</si>
  <si>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</si>
  <si>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</si>
  <si>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</si>
  <si>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</si>
  <si>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</si>
  <si>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</si>
  <si>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</si>
  <si>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</si>
  <si>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</si>
  <si>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</si>
  <si>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</si>
  <si>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</si>
  <si>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</si>
  <si>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</si>
  <si>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</si>
  <si>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</si>
  <si>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</si>
  <si>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</si>
  <si>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</si>
  <si>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</si>
  <si>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</si>
  <si>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</si>
  <si>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</si>
  <si>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</si>
  <si>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</si>
  <si>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</si>
  <si>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</si>
  <si>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</si>
  <si>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</si>
  <si>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</si>
  <si>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</si>
  <si>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</si>
  <si>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</si>
  <si>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</si>
  <si>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</si>
  <si>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</si>
  <si>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</si>
  <si>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</si>
  <si>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</si>
  <si>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</si>
  <si>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</si>
  <si>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</si>
  <si>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</si>
  <si>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</si>
  <si>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</si>
  <si>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</si>
  <si>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</si>
  <si>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</si>
  <si>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</si>
  <si>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</si>
  <si>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</si>
  <si>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</si>
  <si>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</si>
  <si>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</si>
  <si>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</si>
  <si>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</si>
  <si>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</si>
  <si>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</si>
  <si>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</si>
  <si>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</si>
  <si>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</si>
  <si>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</si>
  <si>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</si>
  <si>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</si>
  <si>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</si>
  <si>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</si>
  <si>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</si>
  <si>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</si>
  <si>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</si>
  <si>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</si>
  <si>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</si>
  <si>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</si>
  <si>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</si>
  <si>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</si>
  <si>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</si>
  <si>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</si>
  <si>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</si>
  <si>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</si>
  <si>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</si>
  <si>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</si>
  <si>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</si>
  <si>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</si>
  <si>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</si>
  <si>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</si>
  <si>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</si>
  <si>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</si>
  <si>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</si>
  <si>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</si>
  <si>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</si>
  <si>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</si>
  <si>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</si>
  <si>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</si>
  <si>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</si>
  <si>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</si>
  <si>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</si>
  <si>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</si>
  <si>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</si>
  <si>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</si>
  <si>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</si>
  <si>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</si>
  <si>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</si>
  <si>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</si>
  <si>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</si>
  <si>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</si>
  <si>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</si>
  <si>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</si>
  <si>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</si>
  <si>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</si>
  <si>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</si>
  <si>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</si>
  <si>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</si>
  <si>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</si>
  <si>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</si>
  <si>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</si>
  <si>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</si>
  <si>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</si>
  <si>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</si>
  <si>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</si>
  <si>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</si>
  <si>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</si>
  <si>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</si>
  <si>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</si>
  <si>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</si>
  <si>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</si>
  <si>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</si>
  <si>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</si>
  <si>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</si>
  <si>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</si>
  <si>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</si>
  <si>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</si>
  <si>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</si>
  <si>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</si>
  <si>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</si>
  <si>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</si>
  <si>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</si>
  <si>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</si>
  <si>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</si>
  <si>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</si>
  <si>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</si>
  <si>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</si>
  <si>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</si>
  <si>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</si>
  <si>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</si>
  <si>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</si>
  <si>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</si>
  <si>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</si>
  <si>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</si>
  <si>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</si>
  <si>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</si>
  <si>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</si>
  <si>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</si>
  <si>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</si>
  <si>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</si>
  <si>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</si>
  <si>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</si>
  <si>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</si>
  <si>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</si>
  <si>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</si>
  <si>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</si>
  <si>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</si>
  <si>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</si>
  <si>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</si>
  <si>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</si>
  <si>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</si>
  <si>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</si>
  <si>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</si>
  <si>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</si>
  <si>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</si>
  <si>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</si>
  <si>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</si>
  <si>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</si>
  <si>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</si>
  <si>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</si>
  <si>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</si>
  <si>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</si>
  <si>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</si>
  <si>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</si>
  <si>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</si>
  <si>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</si>
  <si>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</si>
  <si>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</si>
  <si>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</si>
  <si>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</si>
  <si>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</si>
  <si>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</si>
  <si>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</si>
  <si>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</si>
  <si>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</si>
  <si>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</si>
  <si>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</si>
  <si>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</si>
  <si>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</si>
  <si>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</si>
  <si>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</si>
  <si>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</si>
  <si>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</si>
  <si>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</si>
  <si>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</si>
  <si>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</si>
  <si>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</si>
  <si>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</si>
  <si>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</si>
  <si>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</si>
  <si>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</si>
  <si>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</si>
  <si>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</si>
  <si>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</si>
  <si>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</si>
  <si>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</si>
  <si>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</si>
  <si>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</si>
  <si>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</si>
  <si>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</si>
  <si>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</si>
  <si>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</si>
  <si>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</si>
  <si>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</si>
  <si>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</si>
  <si>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</si>
  <si>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</si>
  <si>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</si>
  <si>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</si>
  <si>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</si>
  <si>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</si>
  <si>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</si>
  <si>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</si>
  <si>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</si>
  <si>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</si>
  <si>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</si>
  <si>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</si>
  <si>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</si>
  <si>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</si>
  <si>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</si>
  <si>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</si>
  <si>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</si>
  <si>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</si>
  <si>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</si>
  <si>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</si>
  <si>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</si>
  <si>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</si>
  <si>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</si>
  <si>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</si>
  <si>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</si>
  <si>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</si>
  <si>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</si>
  <si>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</si>
  <si>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</si>
  <si>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</si>
  <si>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</si>
  <si>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</si>
  <si>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</si>
  <si>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</si>
  <si>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</si>
  <si>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</si>
  <si>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</si>
  <si>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</si>
  <si>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</si>
  <si>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</si>
  <si>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</si>
  <si>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</si>
  <si>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</si>
  <si>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</si>
  <si>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</si>
  <si>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</si>
  <si>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</si>
  <si>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</si>
  <si>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</si>
  <si>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</si>
  <si>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</si>
  <si>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</si>
  <si>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</si>
  <si>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</si>
  <si>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</si>
  <si>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</si>
  <si>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</si>
  <si>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</si>
  <si>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</si>
  <si>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</si>
  <si>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</si>
  <si>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</si>
  <si>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</si>
  <si>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</si>
  <si>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</si>
  <si>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</si>
  <si>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</si>
  <si>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</si>
  <si>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</si>
  <si>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</si>
  <si>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</si>
  <si>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</si>
  <si>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</si>
  <si>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</si>
  <si>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</si>
  <si>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</si>
  <si>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</si>
  <si>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</si>
  <si>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</si>
  <si>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</si>
  <si>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</si>
  <si>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</si>
  <si>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</si>
  <si>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</si>
  <si>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</si>
  <si>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</si>
  <si>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</si>
  <si>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</si>
  <si>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</si>
  <si>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</si>
  <si>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</si>
  <si>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</si>
  <si>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</si>
  <si>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</si>
  <si>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</si>
  <si>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</si>
  <si>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</si>
  <si>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</si>
  <si>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</si>
  <si>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</si>
  <si>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</si>
  <si>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</si>
  <si>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</si>
  <si>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</si>
  <si>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</si>
  <si>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</si>
  <si>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</si>
  <si>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</si>
  <si>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</si>
  <si>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</si>
  <si>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</si>
  <si>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</si>
  <si>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</si>
  <si>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</si>
  <si>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</si>
  <si>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</si>
  <si>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</si>
  <si>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</si>
  <si>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</si>
  <si>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</si>
  <si>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</si>
  <si>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</si>
  <si>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</si>
  <si>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</si>
  <si>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</si>
  <si>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</si>
  <si>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</si>
  <si>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</si>
  <si>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</si>
  <si>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</si>
  <si>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</si>
  <si>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</si>
  <si>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</si>
  <si>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</si>
  <si>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</si>
  <si>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</si>
  <si>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</si>
  <si>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</si>
  <si>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</si>
  <si>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</si>
  <si>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</si>
  <si>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</si>
  <si>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</si>
  <si>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</si>
  <si>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</si>
  <si>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</si>
  <si>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</si>
  <si>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</si>
  <si>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</si>
  <si>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</si>
  <si>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</si>
  <si>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</si>
  <si>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</si>
  <si>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</si>
  <si>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</si>
  <si>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</si>
  <si>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</si>
  <si>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</si>
  <si>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</si>
  <si>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</si>
  <si>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</si>
  <si>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</si>
  <si>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</si>
  <si>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</si>
  <si>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</si>
  <si>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</si>
  <si>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</si>
  <si>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</si>
  <si>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</si>
  <si>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</si>
  <si>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</si>
  <si>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</si>
  <si>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</si>
  <si>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</si>
  <si>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</si>
  <si>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</si>
  <si>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</si>
  <si>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</si>
  <si>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</si>
  <si>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</si>
  <si>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</si>
  <si>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</si>
  <si>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</si>
  <si>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</si>
  <si>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</si>
  <si>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</si>
  <si>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</si>
  <si>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</si>
  <si>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</si>
  <si>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</si>
  <si>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</si>
  <si>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</si>
  <si>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</si>
  <si>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</si>
  <si>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</si>
  <si>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</si>
  <si>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</si>
  <si>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</si>
  <si>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</si>
  <si>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</si>
  <si>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</si>
  <si>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</si>
  <si>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</si>
  <si>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</si>
  <si>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</si>
  <si>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</si>
  <si>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</si>
  <si>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</si>
  <si>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</si>
  <si>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</si>
  <si>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</si>
  <si>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</si>
  <si>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</si>
  <si>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</si>
  <si>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</si>
  <si>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</si>
  <si>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</si>
  <si>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</si>
  <si>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</si>
  <si>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</si>
  <si>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</si>
  <si>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</si>
  <si>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</si>
  <si>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</si>
  <si>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</si>
  <si>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</si>
  <si>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</si>
  <si>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</si>
  <si>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</si>
  <si>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</si>
  <si>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</si>
  <si>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</si>
  <si>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</si>
  <si>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</si>
  <si>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</si>
  <si>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</si>
  <si>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</si>
  <si>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</si>
  <si>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</si>
  <si>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</si>
  <si>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</si>
  <si>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</si>
  <si>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</si>
  <si>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</si>
  <si>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</si>
  <si>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</si>
  <si>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</si>
  <si>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</si>
  <si>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</si>
  <si>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</si>
  <si>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</si>
  <si>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</si>
  <si>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</si>
  <si>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</si>
  <si>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</si>
  <si>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</si>
  <si>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</si>
  <si>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</si>
  <si>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</si>
  <si>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</si>
  <si>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</si>
  <si>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</si>
  <si>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</si>
  <si>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</si>
  <si>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</si>
  <si>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</si>
  <si>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</si>
  <si>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</si>
  <si>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</si>
  <si>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</si>
  <si>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</si>
  <si>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</si>
  <si>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</si>
  <si>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</si>
  <si>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</si>
  <si>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</si>
  <si>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</si>
  <si>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</si>
  <si>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</si>
  <si>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</si>
  <si>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</si>
  <si>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</si>
  <si>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</si>
  <si>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</si>
  <si>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</si>
  <si>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</si>
  <si>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</si>
  <si>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</si>
  <si>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</si>
  <si>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</si>
  <si>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</si>
  <si>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</si>
  <si>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</si>
  <si>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</si>
  <si>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</si>
  <si>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</si>
  <si>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</si>
  <si>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</si>
  <si>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</si>
  <si>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</si>
  <si>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</si>
  <si>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</si>
  <si>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</si>
  <si>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</si>
  <si>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</si>
  <si>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</si>
  <si>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</si>
  <si>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</si>
  <si>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</si>
  <si>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</si>
  <si>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</si>
  <si>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</si>
  <si>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</si>
  <si>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</si>
  <si>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</si>
  <si>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</si>
  <si>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</si>
  <si>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</si>
  <si>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</si>
  <si>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</si>
  <si>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</si>
  <si>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</si>
  <si>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</si>
  <si>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</si>
  <si>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</si>
  <si>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</si>
  <si>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</si>
  <si>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</si>
  <si>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</si>
  <si>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</si>
  <si>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</si>
  <si>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</si>
  <si>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</si>
  <si>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</si>
  <si>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</si>
  <si>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</si>
  <si>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</si>
  <si>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</si>
  <si>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</si>
  <si>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</si>
  <si>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</si>
  <si>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</si>
  <si>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</si>
  <si>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</si>
  <si>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</si>
  <si>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</si>
  <si>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</si>
  <si>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</si>
  <si>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</si>
  <si>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</si>
  <si>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</si>
  <si>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</si>
  <si>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</si>
  <si>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</si>
  <si>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</si>
  <si>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</si>
  <si>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</si>
  <si>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</si>
  <si>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</si>
  <si>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</si>
  <si>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</si>
  <si>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</si>
  <si>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</si>
  <si>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</si>
  <si>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</si>
  <si>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</si>
  <si>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</si>
  <si>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</si>
  <si>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</si>
  <si>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</si>
  <si>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</si>
  <si>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</si>
  <si>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</si>
  <si>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</si>
  <si>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</si>
  <si>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</si>
  <si>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</si>
  <si>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</si>
  <si>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</si>
  <si>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</si>
  <si>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</si>
  <si>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</si>
  <si>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</si>
  <si>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</si>
  <si>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</si>
  <si>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</si>
  <si>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</si>
  <si>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</si>
  <si>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</si>
  <si>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</si>
  <si>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</si>
  <si>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</si>
  <si>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</si>
  <si>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</si>
  <si>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</si>
  <si>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</si>
  <si>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</si>
  <si>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</si>
  <si>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</si>
  <si>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</si>
  <si>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</si>
  <si>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</si>
  <si>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</si>
  <si>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</si>
  <si>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</si>
  <si>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</si>
  <si>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</si>
  <si>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</si>
  <si>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</si>
  <si>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</si>
  <si>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</si>
  <si>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</si>
  <si>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</si>
  <si>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</si>
  <si>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</si>
  <si>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</si>
  <si>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</si>
  <si>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</si>
  <si>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</si>
  <si>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</si>
  <si>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</si>
  <si>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</si>
  <si>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</si>
  <si>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</si>
  <si>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</si>
  <si>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</si>
  <si>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</si>
  <si>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</si>
  <si>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</si>
  <si>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</si>
  <si>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</si>
  <si>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</si>
  <si>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</si>
  <si>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</si>
  <si>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</si>
  <si>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</si>
  <si>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</si>
  <si>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</si>
  <si>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</si>
  <si>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</si>
  <si>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</si>
  <si>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</si>
  <si>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</si>
  <si>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</si>
  <si>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</si>
  <si>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</si>
  <si>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</si>
  <si>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</si>
  <si>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</si>
  <si>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</si>
  <si>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</si>
  <si>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</si>
  <si>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</si>
  <si>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</si>
  <si>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</si>
  <si>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</si>
  <si>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</si>
  <si>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</si>
  <si>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</si>
  <si>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</si>
  <si>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</si>
  <si>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</si>
  <si>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</si>
  <si>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</si>
  <si>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</si>
  <si>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</si>
  <si>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</si>
  <si>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</si>
  <si>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</si>
  <si>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</si>
  <si>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</si>
  <si>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</si>
  <si>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</si>
  <si>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</si>
  <si>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</si>
  <si>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</si>
  <si>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</si>
  <si>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</si>
  <si>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</si>
  <si>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</si>
  <si>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</si>
  <si>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</si>
  <si>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</si>
  <si>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</si>
  <si>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</si>
  <si>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</si>
  <si>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</si>
  <si>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</si>
  <si>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</si>
  <si>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</si>
  <si>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</si>
  <si>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</si>
  <si>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</si>
  <si>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</si>
  <si>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</si>
  <si>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</si>
  <si>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</si>
  <si>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</si>
  <si>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</si>
  <si>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</si>
  <si>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</si>
  <si>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</si>
  <si>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</si>
  <si>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</si>
  <si>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</si>
  <si>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</si>
  <si>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</si>
  <si>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</si>
  <si>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</si>
  <si>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</si>
  <si>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</si>
  <si>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</si>
  <si>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</si>
  <si>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</si>
  <si>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</si>
  <si>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</si>
  <si>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</si>
  <si>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</si>
  <si>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</si>
  <si>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</si>
  <si>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</si>
  <si>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</si>
  <si>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</si>
  <si>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</si>
  <si>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</si>
  <si>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</si>
  <si>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</si>
  <si>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</si>
  <si>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</si>
  <si>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</si>
  <si>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</si>
  <si>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</si>
  <si>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</si>
  <si>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</si>
  <si>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</si>
  <si>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</si>
  <si>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</si>
  <si>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</si>
  <si>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</si>
  <si>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</si>
  <si>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</si>
  <si>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</si>
  <si>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</si>
  <si>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</si>
  <si>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</si>
  <si>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</si>
  <si>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</si>
  <si>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</si>
  <si>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</si>
  <si>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</si>
  <si>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</si>
  <si>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</si>
  <si>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</si>
  <si>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</si>
  <si>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</si>
  <si>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</si>
  <si>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</si>
  <si>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</si>
  <si>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</si>
  <si>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</si>
  <si>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</si>
  <si>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</si>
  <si>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</si>
  <si>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</si>
  <si>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</si>
  <si>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</si>
  <si>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</si>
  <si>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</si>
  <si>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</si>
  <si>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</si>
  <si>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</si>
  <si>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</si>
  <si>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</si>
  <si>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</si>
  <si>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</si>
  <si>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</si>
  <si>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</si>
  <si>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</si>
  <si>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</si>
  <si>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</si>
  <si>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</si>
  <si>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</si>
  <si>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</si>
  <si>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</si>
  <si>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</si>
  <si>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</si>
  <si>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</si>
  <si>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</si>
  <si>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</si>
  <si>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</si>
  <si>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</si>
  <si>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</si>
  <si>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</si>
  <si>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</si>
  <si>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</si>
  <si>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</si>
  <si>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</si>
  <si>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</si>
  <si>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</si>
  <si>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</si>
  <si>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</si>
  <si>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</si>
  <si>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</si>
  <si>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</si>
  <si>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</si>
  <si>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</si>
  <si>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</si>
  <si>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</si>
  <si>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</si>
  <si>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</si>
  <si>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</si>
  <si>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</si>
  <si>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</si>
  <si>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</si>
  <si>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</si>
  <si>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</si>
  <si>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</si>
  <si>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</si>
  <si>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</si>
  <si>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</si>
  <si>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</si>
  <si>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</si>
  <si>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</si>
  <si>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</si>
  <si>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</si>
  <si>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</si>
  <si>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</si>
  <si>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</si>
  <si>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</si>
  <si>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</si>
  <si>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</si>
  <si>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</si>
  <si>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</si>
  <si>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</si>
  <si>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</si>
  <si>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</si>
  <si>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</si>
  <si>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</si>
  <si>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</si>
  <si>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</si>
  <si>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</si>
  <si>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</si>
  <si>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</si>
  <si>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</si>
  <si>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</si>
  <si>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</si>
  <si>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</si>
  <si>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</si>
  <si>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</si>
  <si>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</si>
  <si>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</si>
  <si>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</si>
  <si>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</si>
  <si>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</si>
  <si>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</si>
  <si>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</si>
  <si>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</si>
  <si>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</si>
  <si>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</si>
  <si>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</si>
  <si>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</si>
  <si>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</si>
  <si>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</si>
  <si>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</si>
  <si>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</si>
  <si>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</si>
  <si>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</si>
  <si>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</si>
  <si>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</si>
  <si>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</si>
  <si>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</si>
  <si>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</si>
  <si>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</si>
  <si>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</si>
  <si>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</si>
  <si>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</si>
  <si>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</si>
  <si>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</si>
  <si>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</si>
  <si>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</si>
  <si>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</si>
  <si>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</si>
  <si>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</si>
  <si>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</si>
  <si>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</si>
  <si>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</si>
  <si>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</si>
  <si>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</si>
  <si>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</si>
  <si>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</si>
  <si>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</si>
  <si>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</si>
  <si>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</si>
  <si>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</si>
  <si>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</si>
  <si>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</si>
  <si>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</si>
  <si>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</si>
  <si>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</si>
  <si>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</si>
  <si>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</si>
  <si>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</si>
  <si>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</si>
  <si>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</si>
  <si>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</si>
  <si>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</si>
  <si>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</si>
  <si>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</si>
  <si>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</si>
  <si>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</si>
  <si>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</si>
  <si>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</si>
  <si>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</si>
  <si>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</si>
  <si>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</si>
  <si>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</si>
  <si>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</si>
  <si>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</si>
  <si>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</si>
  <si>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</si>
  <si>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</si>
  <si>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</si>
  <si>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</si>
  <si>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</si>
  <si>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</si>
  <si>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</si>
  <si>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</si>
  <si>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</si>
  <si>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</si>
  <si>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</si>
  <si>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</si>
  <si>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</si>
  <si>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</si>
  <si>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</si>
  <si>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</si>
  <si>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</si>
  <si>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</si>
  <si>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</si>
  <si>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</si>
  <si>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</si>
  <si>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</si>
  <si>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</si>
  <si>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</si>
  <si>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</si>
  <si>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</si>
  <si>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</si>
  <si>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</si>
  <si>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</si>
  <si>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</si>
  <si>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</si>
  <si>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</si>
  <si>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</si>
  <si>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</si>
  <si>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</si>
  <si>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</si>
  <si>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</si>
  <si>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</si>
  <si>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</si>
  <si>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</si>
  <si>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</si>
  <si>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</si>
  <si>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</si>
  <si>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</si>
  <si>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</si>
  <si>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</si>
  <si>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</si>
  <si>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</si>
  <si>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</si>
  <si>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</si>
  <si>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</si>
  <si>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</si>
  <si>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</si>
  <si>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</si>
  <si>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</si>
  <si>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</si>
  <si>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</si>
  <si>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</si>
  <si>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</si>
  <si>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</si>
  <si>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</si>
  <si>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</si>
  <si>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</si>
  <si>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</si>
  <si>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</si>
  <si>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</si>
  <si>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</si>
  <si>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</si>
  <si>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</si>
  <si>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</si>
  <si>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</si>
  <si>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</si>
  <si>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</si>
  <si>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</si>
  <si>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</si>
  <si>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</si>
  <si>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</si>
  <si>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</si>
  <si>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</si>
  <si>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</si>
  <si>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</si>
  <si>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</si>
  <si>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</si>
  <si>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</si>
  <si>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</si>
  <si>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</si>
  <si>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</si>
  <si>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</si>
  <si>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</si>
  <si>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</si>
  <si>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</si>
  <si>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</si>
  <si>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</si>
  <si>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</si>
  <si>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</si>
  <si>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</si>
  <si>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</si>
  <si>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</si>
  <si>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</si>
  <si>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</si>
  <si>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</si>
  <si>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</si>
  <si>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</si>
  <si>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</si>
  <si>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</si>
  <si>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</si>
  <si>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</si>
  <si>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</si>
  <si>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</si>
  <si>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</si>
  <si>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</si>
  <si>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</si>
  <si>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</si>
  <si>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</si>
  <si>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</si>
  <si>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</si>
  <si>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</si>
  <si>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</si>
  <si>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</si>
  <si>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</si>
  <si>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</si>
  <si>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</si>
  <si>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</si>
  <si>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</si>
  <si>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</si>
  <si>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</si>
  <si>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</si>
  <si>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</si>
  <si>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</si>
  <si>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</si>
  <si>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</si>
  <si>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</si>
  <si>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</si>
  <si>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</si>
  <si>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</si>
  <si>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</si>
  <si>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</si>
  <si>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</si>
  <si>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</si>
  <si>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</si>
  <si>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</si>
  <si>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</si>
  <si>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</si>
  <si>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</si>
  <si>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</si>
  <si>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</si>
  <si>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</si>
  <si>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</si>
  <si>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</si>
  <si>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</si>
  <si>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</si>
  <si>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</si>
  <si>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</si>
  <si>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</si>
  <si>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</si>
  <si>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</si>
  <si>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</si>
  <si>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</si>
  <si>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</si>
  <si>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</si>
  <si>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</si>
  <si>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</si>
  <si>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</si>
  <si>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</si>
  <si>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</si>
  <si>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</si>
  <si>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</si>
  <si>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</si>
  <si>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</si>
  <si>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</si>
  <si>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</si>
  <si>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</si>
  <si>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</si>
  <si>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</si>
  <si>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</si>
  <si>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</si>
  <si>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</si>
  <si>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</si>
  <si>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</si>
  <si>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</si>
  <si>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</si>
  <si>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</si>
  <si>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</si>
  <si>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</si>
  <si>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</si>
  <si>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</si>
  <si>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</si>
  <si>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</si>
  <si>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</si>
  <si>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</si>
  <si>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</si>
  <si>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</si>
  <si>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</si>
  <si>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</si>
  <si>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</si>
  <si>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</si>
  <si>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</si>
  <si>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</si>
  <si>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</si>
  <si>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</si>
  <si>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</si>
  <si>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</si>
  <si>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</si>
  <si>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</si>
  <si>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</si>
  <si>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</si>
  <si>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</si>
  <si>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</si>
  <si>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</si>
  <si>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</si>
  <si>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</si>
  <si>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</si>
  <si>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</si>
  <si>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</si>
  <si>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</si>
  <si>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</si>
  <si>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</si>
  <si>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</si>
  <si>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</si>
  <si>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</si>
  <si>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</si>
  <si>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</si>
  <si>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</si>
  <si>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</si>
  <si>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</si>
  <si>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</si>
  <si>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</si>
  <si>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</si>
  <si>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</si>
  <si>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</si>
  <si>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</si>
  <si>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</si>
  <si>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</si>
  <si>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</si>
  <si>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</si>
  <si>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</si>
  <si>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</si>
  <si>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</si>
  <si>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</si>
  <si>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</si>
  <si>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</si>
  <si>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</si>
  <si>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</si>
  <si>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</si>
  <si>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</si>
  <si>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</si>
  <si>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</si>
  <si>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</si>
  <si>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</si>
  <si>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</si>
  <si>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</si>
  <si>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</si>
  <si>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</si>
  <si>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</si>
  <si>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</si>
  <si>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</si>
  <si>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</si>
  <si>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</si>
  <si>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</si>
  <si>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</si>
  <si>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</si>
  <si>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</si>
  <si>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</si>
  <si>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</si>
  <si>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</si>
  <si>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</si>
  <si>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</si>
  <si>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</si>
  <si>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</si>
  <si>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</si>
  <si>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</si>
  <si>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</si>
  <si>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</si>
  <si>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</si>
  <si>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</si>
  <si>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</si>
  <si>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</si>
  <si>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</si>
  <si>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</si>
  <si>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</si>
  <si>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</si>
  <si>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</si>
  <si>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</si>
  <si>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</si>
  <si>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</si>
  <si>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</si>
  <si>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</si>
  <si>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</si>
  <si>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</si>
  <si>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</si>
  <si>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</si>
  <si>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</si>
  <si>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</si>
  <si>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</si>
  <si>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</si>
  <si>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</si>
  <si>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</si>
  <si>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</si>
  <si>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</si>
  <si>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</si>
  <si>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</si>
  <si>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</si>
  <si>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</si>
  <si>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</si>
  <si>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</si>
  <si>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</si>
  <si>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</si>
  <si>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</si>
  <si>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</si>
  <si>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</si>
  <si>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</si>
  <si>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</si>
  <si>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</si>
  <si>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</si>
  <si>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</si>
  <si>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</si>
  <si>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</si>
  <si>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</si>
  <si>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</si>
  <si>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</si>
  <si>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</si>
  <si>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</si>
  <si>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</si>
  <si>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</si>
  <si>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</si>
  <si>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</si>
  <si>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</si>
  <si>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</si>
  <si>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</si>
  <si>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</si>
  <si>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</si>
  <si>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</si>
  <si>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</si>
  <si>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</si>
  <si>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</si>
  <si>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</si>
  <si>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</si>
  <si>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</si>
  <si>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</si>
  <si>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</si>
  <si>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</si>
  <si>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</si>
  <si>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</si>
  <si>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</si>
  <si>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</si>
  <si>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</si>
  <si>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</si>
  <si>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</si>
  <si>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</si>
  <si>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</si>
  <si>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</si>
  <si>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</si>
  <si>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</si>
  <si>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</si>
  <si>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</si>
  <si>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</si>
  <si>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</si>
  <si>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</si>
  <si>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</si>
  <si>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</si>
  <si>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</si>
  <si>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</si>
  <si>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</si>
  <si>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</si>
  <si>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</si>
  <si>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</si>
  <si>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</si>
  <si>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</si>
  <si>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</si>
  <si>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</si>
  <si>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</si>
  <si>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</si>
  <si>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</si>
  <si>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</si>
  <si>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</si>
  <si>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</si>
  <si>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</si>
  <si>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</si>
  <si>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</si>
  <si>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</si>
  <si>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</si>
  <si>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</si>
  <si>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</si>
  <si>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</si>
  <si>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</si>
  <si>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</si>
  <si>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</si>
  <si>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</si>
  <si>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</si>
  <si>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</si>
  <si>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</si>
  <si>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</si>
  <si>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</si>
  <si>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</si>
  <si>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</si>
  <si>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</si>
  <si>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</si>
  <si>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</si>
  <si>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</si>
  <si>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</si>
  <si>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</si>
  <si>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</si>
  <si>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</si>
  <si>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</si>
  <si>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</si>
  <si>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</si>
  <si>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</si>
  <si>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</si>
  <si>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</si>
  <si>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</si>
  <si>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</si>
  <si>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</si>
  <si>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</si>
  <si>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</si>
  <si>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</si>
  <si>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</si>
  <si>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</si>
  <si>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</si>
  <si>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</si>
  <si>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</si>
  <si>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</si>
  <si>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</si>
  <si>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</si>
  <si>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</si>
  <si>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</si>
  <si>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</si>
  <si>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</si>
  <si>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</si>
  <si>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</si>
  <si>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</si>
  <si>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</si>
  <si>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</si>
  <si>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</si>
  <si>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</si>
  <si>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</si>
  <si>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</si>
  <si>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</si>
  <si>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</si>
  <si>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</si>
  <si>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</si>
  <si>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</si>
  <si>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</si>
  <si>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</si>
  <si>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</si>
  <si>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</si>
  <si>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</si>
  <si>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</si>
  <si>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</si>
  <si>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</si>
  <si>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</si>
  <si>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</si>
  <si>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</si>
  <si>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</si>
  <si>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</si>
  <si>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</si>
  <si>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</si>
  <si>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</si>
  <si>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</si>
  <si>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</si>
  <si>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</si>
  <si>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</si>
  <si>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</si>
  <si>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</si>
  <si>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</si>
  <si>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</si>
  <si>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</si>
  <si>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</si>
  <si>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</si>
  <si>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</si>
  <si>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</si>
  <si>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</si>
  <si>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</si>
  <si>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</si>
  <si>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</si>
  <si>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</si>
  <si>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</si>
  <si>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</si>
  <si>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</si>
  <si>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</si>
  <si>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</si>
  <si>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</si>
  <si>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</si>
  <si>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</si>
  <si>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</si>
  <si>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</si>
  <si>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</si>
  <si>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</si>
  <si>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</si>
  <si>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</si>
  <si>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</si>
  <si>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</si>
  <si>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</si>
  <si>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</si>
  <si>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</si>
  <si>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</si>
  <si>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</si>
  <si>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</si>
  <si>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</si>
  <si>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</si>
  <si>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</si>
  <si>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</si>
  <si>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</si>
  <si>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</si>
  <si>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</si>
  <si>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</si>
  <si>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</si>
  <si>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</si>
  <si>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</si>
  <si>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</si>
  <si>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</si>
  <si>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</si>
  <si>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</si>
  <si>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</si>
  <si>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</si>
  <si>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</si>
  <si>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</si>
  <si>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</si>
  <si>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</si>
  <si>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</si>
  <si>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</si>
  <si>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</si>
  <si>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</si>
  <si>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</si>
  <si>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</si>
  <si>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</si>
  <si>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</si>
  <si>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</si>
  <si>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</si>
  <si>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</si>
  <si>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</si>
  <si>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</si>
  <si>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</si>
  <si>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</si>
  <si>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</si>
  <si>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</si>
  <si>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</si>
  <si>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</si>
  <si>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</si>
  <si>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</si>
  <si>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</si>
  <si>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</si>
  <si>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</si>
  <si>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</si>
  <si>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</si>
  <si>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</si>
  <si>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</si>
  <si>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</si>
  <si>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</si>
  <si>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</si>
  <si>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</si>
  <si>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</si>
  <si>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</si>
  <si>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</si>
  <si>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</si>
  <si>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</si>
  <si>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</si>
  <si>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</si>
  <si>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</si>
  <si>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</si>
  <si>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</si>
  <si>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</si>
  <si>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</si>
  <si>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</si>
  <si>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</si>
  <si>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</si>
  <si>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</si>
  <si>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</si>
  <si>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</si>
  <si>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</si>
  <si>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</si>
  <si>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</si>
  <si>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</si>
  <si>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</si>
  <si>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</si>
  <si>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</si>
  <si>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</si>
  <si>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</si>
  <si>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</si>
  <si>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</si>
  <si>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</si>
  <si>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</si>
  <si>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</si>
  <si>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</si>
  <si>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</si>
  <si>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</si>
  <si>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</si>
  <si>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</si>
  <si>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</si>
  <si>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</si>
  <si>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</si>
  <si>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</si>
  <si>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</si>
  <si>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</si>
  <si>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</si>
  <si>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</si>
  <si>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</si>
  <si>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</si>
  <si>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</si>
  <si>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</si>
  <si>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</si>
  <si>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</si>
  <si>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</si>
  <si>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</si>
  <si>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</si>
  <si>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</si>
  <si>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</si>
  <si>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</si>
  <si>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</si>
  <si>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</si>
  <si>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</si>
  <si>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</si>
  <si>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</si>
  <si>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</si>
  <si>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</si>
  <si>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</si>
  <si>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</si>
  <si>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</si>
  <si>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</si>
  <si>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</si>
  <si>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</si>
  <si>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</si>
  <si>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</si>
  <si>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</si>
  <si>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</si>
  <si>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</si>
  <si>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</si>
  <si>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</si>
  <si>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</si>
  <si>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</si>
  <si>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</si>
  <si>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</si>
  <si>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</si>
  <si>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</si>
  <si>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</si>
  <si>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</si>
  <si>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</si>
  <si>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</si>
  <si>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</si>
  <si>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</si>
  <si>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</si>
  <si>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</si>
  <si>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</si>
  <si>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</si>
  <si>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</si>
  <si>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</si>
  <si>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</si>
  <si>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</si>
  <si>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</si>
  <si>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</si>
  <si>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</si>
  <si>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</si>
  <si>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</si>
  <si>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</si>
  <si>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</si>
  <si>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</si>
  <si>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</si>
  <si>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</si>
  <si>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</si>
  <si>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</si>
  <si>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</si>
  <si>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</si>
  <si>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</si>
  <si>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</si>
  <si>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</si>
  <si>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</si>
  <si>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</si>
  <si>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</si>
  <si>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</si>
  <si>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</si>
  <si>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</si>
  <si>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</si>
  <si>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</si>
  <si>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</si>
  <si>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</si>
  <si>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</si>
  <si>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</si>
  <si>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</si>
  <si>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</si>
  <si>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</si>
  <si>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</si>
  <si>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</si>
  <si>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</si>
  <si>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</si>
  <si>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</si>
  <si>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</si>
  <si>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</si>
  <si>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</si>
  <si>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</si>
  <si>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</si>
  <si>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</si>
  <si>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</si>
  <si>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</si>
  <si>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</si>
  <si>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</si>
  <si>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</si>
  <si>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</si>
  <si>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</si>
  <si>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</si>
  <si>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</si>
  <si>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</si>
  <si>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</si>
  <si>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</si>
  <si>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</si>
  <si>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</si>
  <si>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</si>
  <si>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</si>
  <si>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</si>
  <si>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</si>
  <si>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</si>
  <si>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</si>
  <si>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</si>
  <si>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</si>
  <si>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</si>
  <si>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</si>
  <si>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</si>
  <si>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</si>
  <si>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</si>
  <si>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</si>
  <si>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</si>
  <si>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</si>
  <si>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</si>
  <si>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</si>
  <si>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</si>
  <si>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</si>
  <si>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</si>
  <si>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</si>
  <si>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</si>
  <si>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</si>
  <si>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</si>
  <si>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</si>
  <si>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</si>
  <si>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</si>
  <si>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</si>
  <si>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</si>
  <si>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</si>
  <si>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</si>
  <si>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</si>
  <si>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</si>
  <si>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</si>
  <si>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</si>
  <si>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</si>
  <si>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</si>
  <si>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</si>
  <si>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</si>
  <si>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</si>
  <si>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</si>
  <si>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</si>
  <si>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</si>
  <si>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</si>
  <si>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</si>
  <si>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</si>
  <si>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</si>
  <si>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</si>
  <si>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</si>
  <si>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</si>
  <si>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</si>
  <si>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</si>
  <si>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</si>
  <si>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</si>
  <si>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</si>
  <si>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</si>
  <si>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</si>
  <si>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</si>
  <si>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</si>
  <si>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</si>
  <si>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</si>
  <si>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</si>
  <si>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</si>
  <si>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</si>
  <si>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</si>
  <si>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</si>
  <si>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</si>
  <si>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</si>
  <si>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</si>
  <si>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</si>
  <si>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</si>
  <si>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</si>
  <si>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</si>
  <si>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</si>
  <si>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</si>
  <si>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</si>
  <si>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</si>
  <si>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</si>
  <si>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</si>
  <si>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</si>
  <si>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</si>
  <si>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</si>
  <si>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</si>
  <si>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</si>
  <si>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</si>
  <si>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</si>
  <si>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</si>
  <si>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</si>
  <si>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</si>
  <si>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</si>
  <si>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</si>
  <si>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</si>
  <si>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</si>
  <si>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</si>
  <si>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</si>
  <si>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</si>
  <si>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</si>
  <si>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</si>
  <si>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</si>
  <si>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</si>
  <si>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</si>
  <si>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</si>
  <si>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</si>
  <si>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</si>
  <si>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</si>
  <si>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</si>
  <si>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</si>
  <si>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</si>
  <si>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</si>
  <si>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</si>
  <si>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</si>
  <si>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</si>
  <si>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</si>
  <si>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</si>
  <si>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</si>
  <si>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</si>
  <si>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</si>
  <si>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</si>
  <si>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</si>
  <si>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</si>
  <si>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</si>
  <si>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</si>
  <si>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</si>
  <si>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</si>
  <si>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</si>
  <si>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</si>
  <si>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</si>
  <si>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</si>
  <si>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</si>
  <si>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</si>
  <si>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</si>
  <si>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</si>
  <si>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</si>
  <si>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</si>
  <si>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</si>
  <si>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</si>
  <si>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</si>
  <si>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</si>
  <si>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</si>
  <si>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</si>
  <si>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</si>
  <si>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</si>
  <si>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</si>
  <si>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</si>
  <si>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</si>
  <si>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</si>
  <si>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</si>
  <si>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</si>
  <si>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</si>
  <si>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</si>
  <si>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</si>
  <si>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</si>
  <si>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</si>
  <si>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</si>
  <si>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</si>
  <si>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</si>
  <si>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</si>
  <si>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</si>
  <si>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</si>
  <si>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</si>
  <si>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</si>
  <si>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</si>
  <si>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</si>
  <si>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</si>
  <si>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</si>
  <si>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</si>
  <si>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</si>
  <si>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</si>
  <si>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</si>
  <si>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</si>
  <si>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</si>
  <si>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</si>
  <si>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</si>
  <si>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</si>
  <si>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</si>
  <si>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</si>
  <si>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</si>
  <si>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</si>
  <si>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</si>
  <si>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</si>
  <si>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</si>
  <si>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</si>
  <si>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</si>
  <si>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</si>
  <si>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</si>
  <si>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</si>
  <si>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</si>
  <si>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</si>
  <si>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</si>
  <si>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</si>
  <si>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</si>
  <si>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</si>
  <si>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</si>
  <si>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</si>
  <si>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</si>
  <si>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</si>
  <si>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</si>
  <si>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</si>
  <si>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</si>
  <si>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</si>
  <si>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</si>
  <si>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</si>
  <si>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</si>
  <si>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</si>
  <si>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</si>
  <si>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</si>
  <si>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</si>
  <si>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</si>
  <si>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</si>
  <si>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</si>
  <si>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</si>
  <si>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</si>
  <si>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</si>
  <si>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</si>
  <si>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</si>
  <si>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</si>
  <si>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</si>
  <si>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</si>
  <si>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</si>
  <si>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</si>
  <si>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</si>
  <si>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</si>
  <si>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</si>
  <si>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</si>
  <si>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</si>
  <si>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</si>
  <si>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</si>
  <si>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</si>
  <si>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</si>
  <si>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</si>
  <si>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</si>
  <si>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</si>
  <si>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</si>
  <si>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</si>
  <si>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</si>
  <si>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</si>
  <si>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</si>
  <si>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</si>
  <si>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</si>
  <si>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</si>
  <si>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</si>
  <si>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</si>
  <si>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</si>
  <si>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</si>
  <si>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</si>
  <si>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</si>
  <si>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</si>
  <si>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</si>
  <si>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</si>
  <si>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</si>
  <si>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</si>
  <si>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</si>
  <si>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</si>
  <si>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</si>
  <si>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</si>
  <si>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</si>
  <si>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</si>
  <si>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</si>
  <si>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</si>
  <si>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</si>
  <si>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</si>
  <si>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</si>
  <si>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</si>
  <si>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</si>
  <si>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</si>
  <si>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</si>
  <si>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</si>
  <si>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</si>
  <si>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</si>
  <si>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</si>
  <si>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</si>
  <si>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</si>
  <si>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</si>
  <si>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</si>
  <si>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</si>
  <si>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</si>
  <si>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</si>
  <si>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</si>
  <si>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</si>
  <si>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</si>
  <si>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</si>
  <si>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</si>
  <si>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</si>
  <si>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</si>
  <si>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</si>
  <si>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</si>
  <si>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</si>
  <si>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</si>
  <si>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</si>
  <si>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</si>
  <si>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</si>
  <si>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</si>
  <si>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</si>
  <si>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</si>
  <si>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</si>
  <si>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</si>
  <si>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</si>
  <si>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</si>
  <si>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</si>
  <si>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</si>
  <si>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</si>
  <si>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</si>
  <si>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</si>
  <si>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</si>
  <si>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</si>
  <si>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</si>
  <si>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</si>
  <si>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</si>
  <si>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</si>
  <si>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</si>
  <si>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</si>
  <si>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</si>
  <si>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</si>
  <si>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</si>
  <si>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</si>
  <si>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</si>
  <si>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</si>
  <si>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</si>
  <si>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</si>
  <si>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</si>
  <si>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</si>
  <si>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</si>
  <si>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</si>
  <si>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</si>
  <si>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</si>
  <si>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</si>
  <si>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</si>
  <si>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</si>
  <si>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</si>
  <si>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</si>
  <si>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</si>
  <si>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</si>
  <si>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</si>
  <si>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</si>
  <si>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</si>
  <si>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</si>
  <si>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</si>
  <si>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</si>
  <si>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</si>
  <si>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</si>
  <si>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</si>
  <si>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</si>
  <si>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</si>
  <si>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</si>
  <si>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</si>
  <si>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</si>
  <si>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</si>
  <si>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</si>
  <si>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</si>
  <si>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</si>
  <si>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</si>
  <si>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</si>
  <si>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</si>
  <si>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</si>
  <si>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</si>
  <si>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</si>
  <si>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</si>
  <si>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</si>
  <si>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</si>
  <si>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</si>
  <si>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</si>
  <si>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</si>
  <si>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</si>
  <si>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</si>
  <si>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</si>
  <si>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</si>
  <si>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</si>
  <si>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</si>
  <si>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</si>
  <si>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</si>
  <si>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</si>
  <si>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</si>
  <si>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</si>
  <si>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</si>
  <si>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</si>
  <si>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</si>
  <si>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</si>
  <si>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</si>
  <si>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</si>
  <si>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</si>
  <si>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</si>
  <si>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</si>
  <si>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</si>
  <si>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</si>
  <si>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</si>
  <si>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</si>
  <si>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</si>
  <si>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</si>
  <si>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</si>
  <si>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</si>
  <si>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</si>
  <si>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</si>
  <si>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</si>
  <si>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</si>
  <si>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</si>
  <si>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</si>
  <si>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</si>
  <si>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</si>
  <si>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</si>
  <si>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</si>
  <si>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</si>
  <si>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</si>
  <si>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</si>
  <si>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</si>
  <si>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</si>
  <si>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</si>
  <si>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</si>
  <si>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</si>
  <si>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</si>
  <si>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</si>
  <si>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</si>
  <si>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</si>
  <si>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</si>
  <si>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</si>
  <si>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</si>
  <si>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</si>
  <si>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</si>
  <si>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</si>
  <si>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</si>
  <si>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</si>
  <si>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</si>
  <si>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</si>
  <si>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</si>
  <si>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</si>
  <si>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</si>
  <si>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</si>
  <si>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</si>
  <si>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</si>
  <si>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</si>
  <si>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</si>
  <si>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</si>
  <si>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</si>
  <si>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</si>
  <si>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</si>
  <si>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</si>
  <si>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</si>
  <si>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</si>
  <si>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</si>
  <si>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</si>
  <si>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</si>
  <si>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</si>
  <si>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</si>
  <si>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</si>
  <si>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</si>
  <si>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</si>
  <si>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</si>
  <si>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</si>
  <si>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</si>
  <si>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</si>
  <si>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</si>
  <si>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</si>
  <si>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</si>
  <si>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</si>
  <si>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</si>
  <si>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</si>
  <si>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</si>
  <si>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</si>
  <si>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</si>
  <si>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</si>
  <si>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</si>
  <si>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</si>
  <si>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</si>
  <si>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</si>
  <si>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</si>
  <si>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</si>
  <si>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</si>
  <si>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</si>
  <si>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</si>
  <si>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</si>
  <si>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</si>
  <si>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</si>
  <si>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</si>
  <si>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</si>
  <si>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</si>
  <si>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</si>
  <si>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</si>
  <si>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</si>
  <si>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</si>
  <si>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</si>
  <si>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</si>
  <si>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</si>
  <si>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</si>
  <si>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</si>
  <si>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</si>
  <si>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</si>
  <si>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</si>
  <si>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</si>
  <si>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</si>
  <si>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</si>
  <si>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</si>
  <si>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</si>
  <si>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</si>
  <si>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</si>
  <si>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</si>
  <si>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</si>
  <si>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</si>
  <si>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</si>
  <si>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</si>
  <si>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</si>
  <si>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</si>
  <si>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</si>
  <si>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</si>
  <si>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</si>
  <si>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</si>
  <si>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</si>
  <si>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</si>
  <si>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</si>
  <si>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</si>
  <si>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</si>
  <si>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</si>
  <si>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</si>
  <si>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</si>
  <si>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</si>
  <si>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</si>
  <si>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</si>
  <si>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</si>
  <si>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</si>
  <si>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</si>
  <si>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</si>
  <si>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</si>
  <si>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</si>
  <si>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</si>
  <si>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</si>
  <si>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</si>
  <si>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</si>
  <si>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</si>
  <si>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</si>
  <si>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</si>
  <si>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</si>
  <si>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</si>
  <si>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</si>
  <si>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</si>
  <si>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</si>
  <si>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</si>
  <si>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</si>
  <si>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</si>
  <si>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</si>
  <si>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</si>
  <si>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</si>
  <si>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</si>
  <si>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</si>
  <si>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</si>
  <si>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</si>
  <si>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</si>
  <si>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</si>
  <si>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</si>
  <si>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</si>
  <si>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</si>
  <si>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</si>
  <si>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</si>
  <si>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</si>
  <si>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</si>
  <si>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</si>
  <si>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</si>
  <si>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</si>
  <si>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</si>
  <si>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</si>
  <si>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</si>
  <si>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</si>
  <si>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</si>
  <si>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</si>
  <si>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</si>
  <si>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</si>
  <si>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</si>
  <si>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</si>
  <si>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</si>
  <si>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</si>
  <si>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</si>
  <si>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</si>
  <si>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</si>
  <si>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</si>
  <si>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</si>
  <si>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</si>
  <si>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</si>
  <si>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</si>
  <si>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</si>
  <si>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</si>
  <si>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</si>
  <si>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</si>
  <si>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</si>
  <si>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</si>
  <si>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</si>
  <si>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</si>
  <si>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</si>
  <si>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</si>
  <si>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</si>
  <si>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</si>
  <si>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</si>
  <si>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</si>
  <si>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</si>
  <si>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</si>
  <si>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</si>
  <si>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</si>
  <si>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</si>
  <si>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</si>
  <si>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</si>
  <si>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</si>
  <si>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</si>
  <si>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</si>
  <si>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</si>
  <si>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</si>
  <si>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</si>
  <si>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</si>
  <si>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</si>
  <si>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</si>
  <si>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</si>
  <si>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</si>
  <si>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</si>
  <si>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</si>
  <si>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</si>
  <si>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</si>
  <si>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</si>
  <si>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</si>
  <si>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</si>
  <si>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</si>
  <si>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</si>
  <si>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</si>
  <si>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</si>
  <si>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</si>
  <si>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</si>
  <si>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</si>
  <si>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</si>
  <si>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</si>
  <si>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</si>
  <si>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</si>
  <si>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</si>
  <si>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</si>
  <si>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</si>
  <si>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</si>
  <si>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</si>
  <si>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</si>
  <si>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</si>
  <si>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</si>
  <si>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</si>
  <si>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</si>
  <si>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</si>
  <si>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</si>
  <si>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</si>
  <si>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</si>
  <si>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</si>
  <si>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</si>
  <si>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</si>
  <si>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</si>
  <si>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</si>
  <si>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</si>
  <si>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</si>
  <si>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</si>
  <si>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</si>
  <si>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</si>
  <si>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</si>
  <si>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</si>
  <si>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</si>
  <si>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</si>
  <si>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</si>
  <si>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</si>
  <si>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</si>
  <si>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</si>
  <si>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</si>
  <si>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</si>
  <si>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</si>
  <si>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</si>
  <si>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</si>
  <si>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</si>
  <si>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</si>
  <si>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</si>
  <si>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</si>
  <si>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</si>
  <si>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</si>
  <si>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</si>
  <si>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</si>
  <si>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</si>
  <si>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</si>
  <si>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</si>
  <si>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</si>
  <si>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</si>
  <si>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</si>
  <si>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</si>
  <si>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</si>
  <si>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</si>
  <si>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</si>
  <si>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</si>
  <si>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</si>
  <si>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</si>
  <si>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</si>
  <si>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</si>
  <si>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</si>
  <si>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</si>
  <si>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</si>
  <si>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</si>
  <si>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</si>
  <si>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</si>
  <si>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</si>
  <si>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</si>
  <si>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</si>
  <si>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</si>
  <si>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</si>
  <si>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</si>
  <si>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</si>
  <si>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</si>
  <si>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</si>
  <si>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</si>
  <si>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</si>
  <si>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</si>
  <si>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</si>
  <si>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</si>
  <si>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</si>
  <si>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</si>
  <si>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</si>
  <si>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</si>
  <si>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</si>
  <si>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</si>
  <si>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</si>
  <si>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</si>
  <si>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</si>
  <si>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</si>
  <si>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</si>
  <si>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</si>
  <si>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</si>
  <si>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</si>
  <si>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</si>
  <si>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</si>
  <si>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</si>
  <si>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</si>
  <si>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</si>
  <si>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</si>
  <si>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</si>
  <si>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</si>
  <si>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</si>
  <si>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</si>
  <si>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</si>
  <si>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</si>
  <si>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</si>
  <si>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</si>
  <si>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</si>
  <si>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</si>
  <si>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</si>
  <si>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</si>
  <si>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</si>
  <si>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</si>
  <si>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</si>
  <si>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</si>
  <si>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</si>
  <si>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</si>
  <si>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</si>
  <si>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</si>
  <si>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</si>
  <si>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</si>
  <si>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</si>
  <si>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</si>
  <si>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</si>
  <si>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</si>
  <si>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</si>
  <si>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</si>
  <si>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</si>
  <si>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</si>
  <si>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</si>
  <si>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</si>
  <si>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</si>
  <si>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</si>
  <si>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</si>
  <si>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</si>
  <si>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</si>
  <si>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</si>
  <si>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</si>
  <si>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</si>
  <si>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</si>
  <si>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</si>
  <si>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</si>
  <si>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</si>
  <si>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</si>
  <si>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</si>
  <si>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</si>
  <si>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</si>
  <si>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</si>
  <si>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</si>
  <si>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</si>
  <si>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</si>
  <si>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</si>
  <si>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</si>
  <si>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</si>
  <si>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</si>
  <si>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</si>
  <si>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</si>
  <si>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</si>
  <si>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</si>
  <si>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</si>
  <si>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</si>
  <si>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</si>
  <si>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</si>
  <si>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</si>
  <si>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</si>
  <si>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</si>
  <si>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</si>
  <si>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</si>
  <si>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</si>
  <si>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</si>
  <si>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</si>
  <si>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</si>
  <si>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</si>
  <si>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</si>
  <si>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</si>
  <si>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</si>
  <si>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</si>
  <si>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</si>
  <si>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</si>
  <si>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</si>
  <si>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</si>
  <si>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</si>
  <si>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</si>
  <si>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</si>
  <si>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</si>
  <si>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</si>
  <si>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</si>
  <si>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</si>
  <si>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</si>
  <si>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</si>
  <si>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</si>
  <si>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</si>
  <si>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</si>
  <si>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</si>
  <si>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</si>
  <si>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</si>
  <si>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</si>
  <si>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</si>
  <si>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</si>
  <si>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</si>
  <si>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</si>
  <si>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</si>
  <si>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</si>
  <si>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</si>
  <si>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</si>
  <si>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</si>
  <si>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</si>
  <si>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</si>
  <si>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</si>
  <si>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</si>
  <si>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</si>
  <si>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</si>
  <si>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</si>
  <si>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</si>
  <si>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</si>
  <si>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</si>
  <si>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</si>
  <si>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</si>
  <si>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</si>
  <si>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</si>
  <si>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</si>
  <si>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</si>
  <si>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</si>
  <si>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</si>
  <si>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</si>
  <si>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</si>
  <si>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</si>
  <si>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</si>
  <si>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</si>
  <si>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</si>
  <si>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</si>
  <si>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</si>
  <si>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</si>
  <si>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</si>
  <si>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</si>
  <si>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</si>
  <si>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</si>
  <si>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</si>
  <si>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</si>
  <si>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</si>
  <si>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</si>
  <si>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</si>
  <si>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</si>
  <si>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</si>
  <si>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</si>
  <si>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</si>
  <si>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</si>
  <si>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</si>
  <si>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</si>
  <si>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</si>
  <si>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</si>
  <si>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</si>
  <si>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</si>
  <si>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</si>
  <si>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</si>
  <si>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</si>
  <si>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</si>
  <si>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</si>
  <si>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</si>
  <si>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</si>
  <si>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</si>
  <si>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</si>
  <si>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</si>
  <si>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</si>
  <si>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</si>
  <si>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</si>
  <si>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</si>
  <si>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</si>
  <si>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</si>
  <si>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</si>
  <si>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</si>
  <si>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</si>
  <si>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</si>
  <si>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</si>
  <si>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</si>
  <si>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</si>
  <si>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</si>
  <si>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</si>
  <si>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</si>
  <si>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</si>
  <si>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</si>
  <si>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</si>
  <si>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</si>
  <si>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</si>
  <si>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</si>
  <si>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</si>
  <si>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</si>
  <si>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</si>
  <si>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</si>
  <si>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</si>
  <si>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</si>
  <si>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</si>
  <si>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</si>
  <si>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</si>
  <si>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</si>
  <si>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</si>
  <si>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</si>
  <si>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</si>
  <si>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</si>
  <si>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</si>
  <si>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</si>
  <si>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</si>
  <si>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</si>
  <si>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</si>
  <si>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</si>
  <si>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</si>
  <si>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</si>
  <si>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</si>
  <si>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</si>
  <si>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</si>
  <si>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</si>
  <si>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</si>
  <si>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</si>
  <si>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</si>
  <si>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</si>
  <si>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</si>
  <si>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</si>
  <si>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</si>
  <si>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</si>
  <si>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</si>
  <si>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</si>
  <si>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</si>
  <si>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</si>
  <si>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</si>
  <si>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</si>
  <si>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</si>
  <si>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</si>
  <si>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</si>
  <si>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</si>
  <si>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</si>
  <si>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</si>
  <si>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</si>
  <si>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</si>
  <si>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</si>
  <si>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</si>
  <si>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</si>
  <si>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</si>
  <si>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</si>
  <si>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</si>
  <si>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</si>
  <si>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</si>
  <si>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</si>
  <si>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</si>
  <si>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</si>
  <si>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</si>
  <si>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</si>
  <si>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</si>
  <si>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</si>
  <si>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</si>
  <si>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</si>
  <si>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</si>
  <si>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</si>
  <si>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</si>
  <si>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</si>
  <si>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</si>
  <si>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</si>
  <si>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</si>
  <si>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</si>
  <si>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</si>
  <si>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</si>
  <si>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</si>
  <si>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</si>
  <si>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</si>
  <si>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</si>
  <si>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</si>
  <si>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</si>
  <si>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</si>
  <si>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</si>
  <si>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</si>
  <si>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</si>
  <si>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</si>
  <si>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</si>
  <si>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</si>
  <si>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</si>
  <si>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</si>
  <si>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</si>
  <si>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</si>
  <si>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</si>
  <si>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</si>
  <si>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</si>
  <si>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</si>
  <si>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</si>
  <si>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</si>
  <si>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</si>
  <si>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</si>
  <si>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</si>
  <si>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</si>
  <si>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</si>
  <si>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</si>
  <si>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</si>
  <si>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</si>
  <si>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</si>
  <si>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</si>
  <si>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</si>
  <si>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</si>
  <si>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</si>
  <si>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</si>
  <si>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</si>
  <si>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</si>
  <si>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</si>
  <si>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</si>
  <si>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</si>
  <si>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</si>
  <si>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</si>
  <si>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</si>
  <si>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</si>
  <si>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</si>
  <si>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</si>
  <si>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</si>
  <si>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</si>
  <si>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</si>
  <si>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</si>
  <si>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</si>
  <si>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</si>
  <si>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</si>
  <si>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</si>
  <si>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</si>
  <si>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</si>
  <si>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</si>
  <si>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</si>
  <si>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</si>
  <si>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</si>
  <si>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</si>
  <si>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</si>
  <si>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</si>
  <si>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</si>
  <si>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</si>
  <si>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</si>
  <si>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</si>
  <si>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</si>
  <si>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</si>
  <si>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</si>
  <si>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</si>
  <si>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</si>
  <si>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</si>
  <si>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</si>
  <si>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</si>
  <si>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</si>
  <si>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</si>
  <si>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</si>
  <si>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</si>
  <si>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</si>
  <si>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</si>
  <si>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</si>
  <si>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</si>
  <si>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</si>
  <si>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</si>
  <si>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</si>
  <si>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</si>
  <si>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</si>
  <si>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</si>
  <si>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</si>
  <si>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</si>
  <si>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</si>
  <si>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</si>
  <si>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</si>
  <si>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</si>
  <si>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</si>
  <si>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</si>
  <si>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</si>
  <si>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</si>
  <si>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</si>
  <si>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</si>
  <si>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</si>
  <si>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</si>
  <si>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</si>
  <si>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</si>
  <si>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</si>
  <si>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</si>
  <si>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</si>
  <si>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</si>
  <si>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</si>
  <si>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</si>
  <si>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</si>
  <si>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</si>
  <si>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</si>
  <si>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</si>
  <si>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</si>
  <si>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</si>
  <si>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</si>
  <si>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</si>
  <si>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</si>
  <si>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</si>
  <si>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</si>
  <si>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</si>
  <si>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</si>
  <si>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</si>
  <si>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</si>
  <si>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</si>
  <si>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</si>
  <si>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</si>
  <si>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</si>
  <si>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</si>
  <si>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</si>
  <si>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</si>
  <si>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</si>
  <si>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</si>
  <si>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</si>
  <si>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</si>
  <si>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</si>
  <si>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</si>
  <si>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</si>
  <si>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</si>
  <si>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</si>
  <si>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</si>
  <si>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</si>
  <si>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</si>
  <si>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</si>
  <si>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</si>
  <si>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</si>
  <si>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</si>
  <si>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</si>
  <si>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</si>
  <si>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</si>
  <si>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</si>
  <si>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</si>
  <si>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</si>
  <si>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</si>
  <si>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</si>
  <si>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</si>
  <si>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</si>
  <si>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</si>
  <si>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</si>
  <si>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</si>
  <si>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</si>
  <si>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</si>
  <si>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</si>
  <si>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</si>
  <si>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</si>
  <si>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</si>
  <si>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</si>
  <si>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</si>
  <si>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</si>
  <si>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</si>
  <si>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</si>
  <si>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</si>
  <si>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</si>
  <si>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</si>
  <si>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</si>
  <si>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</si>
  <si>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</si>
  <si>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</si>
  <si>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</si>
  <si>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</si>
  <si>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</si>
  <si>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</si>
  <si>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</si>
  <si>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</si>
  <si>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</si>
  <si>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</si>
  <si>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</si>
  <si>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</si>
  <si>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</si>
  <si>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</si>
  <si>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</si>
  <si>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</si>
  <si>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</si>
  <si>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</si>
  <si>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</si>
  <si>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</si>
  <si>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</si>
  <si>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</si>
  <si>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</si>
  <si>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</si>
  <si>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</si>
  <si>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</si>
  <si>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</si>
  <si>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</si>
  <si>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</si>
  <si>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</si>
  <si>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</si>
  <si>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</si>
  <si>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</si>
  <si>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</si>
  <si>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</si>
  <si>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</si>
  <si>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</si>
  <si>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</si>
  <si>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</si>
  <si>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</si>
  <si>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</si>
  <si>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</si>
  <si>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</si>
  <si>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</si>
  <si>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</si>
  <si>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</si>
  <si>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</si>
  <si>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</si>
  <si>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</si>
  <si>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</si>
  <si>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</si>
  <si>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</si>
  <si>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</si>
  <si>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</si>
  <si>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</si>
  <si>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</si>
  <si>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</si>
  <si>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</si>
  <si>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</si>
  <si>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</si>
  <si>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</si>
  <si>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</si>
  <si>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</si>
  <si>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</si>
  <si>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</si>
  <si>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</si>
  <si>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</si>
  <si>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</si>
  <si>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</si>
  <si>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</si>
  <si>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</si>
  <si>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</si>
  <si>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</si>
  <si>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</si>
  <si>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</si>
  <si>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</si>
  <si>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</si>
  <si>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</si>
  <si>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</si>
  <si>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</si>
  <si>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</si>
  <si>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</si>
  <si>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</si>
  <si>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</si>
  <si>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</si>
  <si>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</si>
  <si>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</si>
  <si>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</si>
  <si>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</si>
  <si>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</si>
  <si>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</si>
  <si>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</si>
  <si>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</si>
  <si>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</si>
  <si>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</si>
  <si>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</si>
  <si>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</si>
  <si>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</si>
  <si>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</si>
  <si>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</si>
  <si>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</si>
  <si>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</si>
  <si>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</si>
  <si>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</si>
  <si>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</si>
  <si>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</si>
  <si>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</si>
  <si>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</si>
  <si>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</si>
  <si>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</si>
  <si>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</si>
  <si>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</si>
  <si>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</si>
  <si>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</si>
  <si>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</si>
  <si>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</si>
  <si>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</si>
  <si>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</si>
  <si>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</si>
  <si>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</si>
  <si>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</si>
  <si>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</si>
  <si>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</si>
  <si>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</si>
  <si>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</si>
  <si>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</si>
  <si>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</si>
  <si>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</si>
  <si>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</si>
  <si>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</si>
  <si>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</si>
  <si>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</si>
  <si>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</si>
  <si>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</si>
  <si>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</si>
  <si>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</si>
  <si>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</si>
  <si>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</si>
  <si>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</si>
  <si>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</si>
  <si>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</si>
  <si>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</si>
  <si>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</si>
  <si>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</si>
  <si>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</si>
  <si>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</si>
  <si>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</si>
  <si>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</si>
  <si>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</si>
  <si>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</si>
  <si>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</si>
  <si>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</si>
  <si>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</si>
  <si>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</si>
  <si>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</si>
  <si>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</si>
  <si>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</si>
  <si>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</si>
  <si>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</si>
  <si>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</si>
  <si>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</si>
  <si>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</si>
  <si>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</si>
  <si>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</si>
  <si>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</si>
  <si>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</si>
  <si>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</si>
  <si>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</si>
  <si>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</si>
  <si>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</si>
  <si>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</si>
  <si>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</si>
  <si>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</si>
  <si>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</si>
  <si>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</si>
  <si>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</si>
  <si>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</si>
  <si>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</si>
  <si>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</si>
  <si>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</si>
  <si>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</si>
  <si>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</si>
  <si>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</si>
  <si>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</si>
  <si>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</si>
  <si>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</si>
  <si>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</si>
  <si>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</si>
  <si>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</si>
  <si>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</si>
  <si>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</si>
  <si>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</si>
  <si>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</si>
  <si>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</si>
  <si>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</si>
  <si>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</si>
  <si>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</si>
  <si>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</si>
  <si>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</si>
  <si>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</si>
  <si>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</si>
  <si>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</si>
  <si>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</si>
  <si>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</si>
  <si>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</si>
  <si>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</si>
  <si>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</si>
  <si>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</si>
  <si>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</si>
  <si>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</si>
  <si>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</si>
  <si>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</si>
  <si>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</si>
  <si>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</si>
  <si>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</si>
  <si>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</si>
  <si>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</si>
  <si>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</si>
  <si>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</si>
  <si>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</si>
  <si>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</si>
  <si>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</si>
  <si>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</si>
  <si>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</si>
  <si>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</si>
  <si>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</si>
  <si>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</si>
  <si>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</si>
  <si>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</si>
  <si>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</si>
  <si>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</si>
  <si>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</si>
  <si>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</si>
  <si>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</si>
  <si>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</si>
  <si>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</si>
  <si>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</si>
  <si>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</si>
  <si>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</si>
  <si>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</si>
  <si>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</si>
  <si>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</si>
  <si>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</si>
  <si>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</si>
  <si>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</si>
  <si>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</si>
  <si>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</si>
  <si>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</si>
  <si>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</si>
  <si>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</si>
  <si>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</si>
  <si>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</si>
  <si>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</si>
  <si>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</si>
  <si>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</si>
  <si>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</si>
  <si>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</si>
  <si>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</si>
  <si>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</si>
  <si>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</si>
  <si>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</si>
  <si>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</si>
  <si>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</si>
  <si>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</si>
  <si>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</si>
  <si>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</si>
  <si>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</si>
  <si>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</si>
  <si>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</si>
  <si>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</si>
  <si>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</si>
  <si>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</si>
  <si>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</si>
  <si>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</si>
  <si>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</si>
  <si>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</si>
  <si>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</si>
  <si>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</si>
  <si>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</si>
  <si>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</si>
  <si>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</si>
  <si>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</si>
  <si>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</si>
  <si>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</si>
  <si>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</si>
  <si>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</si>
  <si>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</si>
  <si>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</si>
  <si>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</si>
  <si>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</si>
  <si>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</si>
  <si>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</si>
  <si>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</si>
  <si>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</si>
  <si>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</si>
  <si>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</si>
  <si>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</si>
  <si>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</si>
  <si>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</si>
  <si>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</si>
  <si>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</si>
  <si>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</si>
  <si>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</si>
  <si>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</si>
  <si>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</si>
  <si>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</si>
  <si>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</si>
  <si>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</si>
  <si>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</si>
  <si>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</si>
  <si>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</si>
  <si>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</si>
  <si>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</si>
  <si>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</si>
  <si>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</si>
  <si>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</si>
  <si>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</si>
  <si>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</si>
  <si>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</si>
  <si>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</si>
  <si>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</si>
  <si>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</si>
  <si>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</si>
  <si>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</si>
  <si>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</si>
  <si>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</si>
  <si>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</si>
  <si>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</si>
  <si>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</si>
  <si>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</si>
  <si>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</si>
  <si>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</si>
  <si>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</si>
  <si>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</si>
  <si>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</si>
  <si>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</si>
  <si>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</si>
  <si>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</si>
  <si>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</si>
  <si>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</si>
  <si>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</si>
  <si>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</si>
  <si>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</si>
  <si>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</si>
  <si>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</si>
  <si>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</si>
  <si>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</si>
  <si>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</si>
  <si>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</si>
  <si>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</si>
  <si>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</si>
  <si>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</si>
  <si>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</si>
  <si>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</si>
  <si>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</si>
  <si>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</si>
  <si>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</si>
  <si>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</si>
  <si>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</si>
  <si>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</si>
  <si>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</si>
  <si>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</si>
  <si>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</si>
  <si>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</si>
  <si>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</si>
  <si>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</si>
  <si>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</si>
  <si>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</si>
  <si>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</si>
  <si>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</si>
  <si>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</si>
  <si>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</si>
  <si>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</si>
  <si>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</si>
  <si>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</si>
  <si>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</si>
  <si>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</si>
  <si>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</si>
  <si>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</si>
  <si>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</si>
  <si>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</si>
  <si>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</si>
  <si>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</si>
  <si>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</si>
  <si>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</si>
  <si>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</si>
  <si>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</si>
  <si>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</si>
  <si>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</si>
  <si>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</si>
  <si>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</si>
  <si>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</si>
  <si>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</si>
  <si>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</si>
  <si>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</si>
  <si>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</si>
  <si>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</si>
  <si>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</si>
  <si>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</si>
  <si>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</si>
  <si>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</si>
  <si>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</si>
  <si>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</si>
  <si>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</si>
  <si>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</si>
  <si>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</si>
  <si>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</si>
  <si>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</si>
  <si>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</si>
  <si>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</si>
  <si>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</si>
  <si>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</si>
  <si>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</si>
  <si>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</si>
  <si>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</si>
  <si>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</si>
  <si>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</si>
  <si>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</si>
  <si>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</si>
  <si>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</si>
  <si>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</si>
  <si>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</si>
  <si>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</si>
  <si>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</si>
  <si>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</si>
  <si>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</si>
  <si>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</si>
  <si>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</si>
  <si>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</si>
  <si>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</si>
  <si>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</si>
  <si>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</si>
  <si>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</si>
  <si>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</si>
  <si>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</si>
  <si>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</si>
  <si>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</si>
  <si>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</si>
  <si>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</si>
  <si>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</si>
  <si>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</si>
  <si>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</si>
  <si>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</si>
  <si>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</si>
  <si>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</si>
  <si>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</si>
  <si>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</si>
  <si>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</si>
  <si>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</si>
  <si>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</si>
  <si>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</si>
  <si>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</si>
  <si>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</si>
  <si>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</si>
  <si>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</si>
  <si>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</si>
  <si>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</si>
  <si>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</si>
  <si>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</si>
  <si>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</si>
  <si>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</si>
  <si>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</si>
  <si>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</si>
  <si>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</si>
  <si>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</si>
  <si>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</si>
  <si>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</si>
  <si>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</si>
  <si>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</si>
  <si>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</si>
  <si>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</si>
  <si>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</si>
  <si>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</si>
  <si>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</si>
  <si>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</si>
  <si>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</si>
  <si>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</si>
  <si>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</si>
  <si>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</si>
  <si>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</si>
  <si>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</si>
  <si>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</si>
  <si>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</si>
  <si>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</si>
  <si>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</si>
  <si>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</si>
  <si>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</si>
  <si>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</si>
  <si>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</si>
  <si>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</si>
  <si>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</si>
  <si>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</si>
  <si>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</si>
  <si>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</si>
  <si>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</si>
  <si>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</si>
  <si>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</si>
  <si>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</si>
  <si>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</si>
  <si>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</si>
  <si>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</si>
  <si>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</si>
  <si>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</si>
  <si>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</si>
  <si>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</si>
  <si>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</si>
  <si>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</si>
  <si>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</si>
  <si>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</si>
  <si>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</si>
  <si>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</si>
  <si>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</si>
  <si>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</si>
  <si>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</si>
  <si>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</si>
  <si>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</si>
  <si>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وغدیر 19344 تا 1429</t>
  </si>
  <si>
    <t>ضغدر3009 3000 تا 750</t>
  </si>
  <si>
    <t>31/1/1401</t>
  </si>
  <si>
    <t>وغدیر 34983 تا 1424</t>
  </si>
  <si>
    <t>1/2/1401</t>
  </si>
  <si>
    <t>2/2/1401</t>
  </si>
  <si>
    <t>3/2/1401</t>
  </si>
  <si>
    <t>طلب از مداحی 2/2/1401</t>
  </si>
  <si>
    <t>m16705934-mH53752848*</t>
  </si>
  <si>
    <t>طلب از مریم قسط انصار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</si>
</sst>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6901</v>
      </c>
      <c r="C1" s="32" t="s">
        <v>6902</v>
      </c>
      <c r="D1" s="32" t="s">
        <v>6903</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6905</v>
      </c>
      <c r="B24" s="324">
        <v>109</v>
      </c>
      <c r="C24" s="324">
        <v>47</v>
      </c>
      <c r="D24" s="324">
        <v>130</v>
      </c>
      <c r="E24" s="324">
        <v>839</v>
      </c>
    </row>
    <row r="25" spans="1:7">
      <c r="A25" s="32" t="s">
        <v>6911</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6908</v>
      </c>
      <c r="B29" s="324">
        <v>178</v>
      </c>
      <c r="C29" s="324">
        <v>146</v>
      </c>
      <c r="D29" s="324">
        <v>370</v>
      </c>
      <c r="E29" s="324">
        <v>2300</v>
      </c>
    </row>
    <row r="30" spans="1:7">
      <c r="A30" s="32" t="s">
        <v>4216</v>
      </c>
      <c r="B30" s="324">
        <v>224</v>
      </c>
      <c r="C30" s="324">
        <v>193</v>
      </c>
      <c r="D30" s="324">
        <v>340</v>
      </c>
      <c r="E30" s="324">
        <v>1328</v>
      </c>
    </row>
    <row r="31" spans="1:7">
      <c r="A31" s="32" t="s">
        <v>6929</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6893</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6947</v>
      </c>
      <c r="D1" s="365" t="s">
        <v>6946</v>
      </c>
      <c r="E1" s="457" t="s">
        <v>6948</v>
      </c>
      <c r="F1" s="365" t="s">
        <v>6949</v>
      </c>
      <c r="G1" s="365" t="s">
        <v>6950</v>
      </c>
      <c r="H1" s="365" t="s">
        <v>6951</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6908</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6938</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6952</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6936</v>
      </c>
      <c r="B14" s="365" t="s">
        <v>4823</v>
      </c>
      <c r="C14" s="457" t="s">
        <v>6941</v>
      </c>
      <c r="D14" s="365" t="s">
        <v>6942</v>
      </c>
      <c r="E14" s="457" t="s">
        <v>6943</v>
      </c>
      <c r="F14" s="365" t="s">
        <v>6944</v>
      </c>
      <c r="G14" s="365" t="s">
        <v>6945</v>
      </c>
      <c r="H14" s="365" t="s">
        <v>6942</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6937</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6904</v>
      </c>
      <c r="B41" s="470" t="s">
        <v>4823</v>
      </c>
      <c r="C41" s="470" t="s">
        <v>6941</v>
      </c>
      <c r="D41" s="470" t="s">
        <v>6953</v>
      </c>
      <c r="E41" s="470" t="s">
        <v>6902</v>
      </c>
      <c r="F41" s="470" t="s">
        <v>6954</v>
      </c>
      <c r="G41" s="470" t="s">
        <v>6945</v>
      </c>
      <c r="H41" s="470" t="s">
        <v>6953</v>
      </c>
      <c r="I41" s="470" t="s">
        <v>4245</v>
      </c>
      <c r="J41" s="470" t="s">
        <v>6939</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6905</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6909</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6906</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6907</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6910</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6865</v>
      </c>
      <c r="B125" s="414">
        <v>4000</v>
      </c>
      <c r="C125" s="415"/>
      <c r="D125" s="415"/>
      <c r="E125" s="415"/>
      <c r="F125" s="415"/>
      <c r="G125" s="415"/>
      <c r="H125" s="415"/>
      <c r="I125" s="415"/>
      <c r="J125" s="415"/>
    </row>
    <row r="126" spans="1:25" ht="30">
      <c r="A126" s="414" t="s">
        <v>6864</v>
      </c>
      <c r="B126" s="414">
        <v>2134</v>
      </c>
      <c r="C126" s="415"/>
      <c r="D126" s="415"/>
      <c r="E126" s="415"/>
      <c r="F126" s="415"/>
      <c r="G126" s="416" t="s">
        <v>6861</v>
      </c>
      <c r="H126" s="419" t="s">
        <v>6862</v>
      </c>
      <c r="I126" s="417" t="s">
        <v>6863</v>
      </c>
      <c r="J126" s="417" t="s">
        <v>6866</v>
      </c>
    </row>
    <row r="127" spans="1:25" ht="15.75">
      <c r="A127" s="416"/>
      <c r="B127" s="414" t="s">
        <v>6859</v>
      </c>
      <c r="C127" s="414" t="s">
        <v>4828</v>
      </c>
      <c r="D127" s="414" t="s">
        <v>5835</v>
      </c>
      <c r="E127" s="416" t="s">
        <v>4216</v>
      </c>
      <c r="F127" s="416" t="s">
        <v>6860</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6869</v>
      </c>
      <c r="B138" s="18">
        <v>2000000</v>
      </c>
      <c r="C138" s="205">
        <v>21</v>
      </c>
      <c r="D138" s="205">
        <f t="shared" si="8"/>
        <v>66</v>
      </c>
      <c r="E138" s="18">
        <f t="shared" si="9"/>
        <v>132000000</v>
      </c>
      <c r="F138" s="205"/>
    </row>
    <row r="139" spans="1:6">
      <c r="A139" s="205" t="s">
        <v>6882</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6886</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6989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1"/>
  <sheetViews>
    <sheetView tabSelected="1" topLeftCell="M296" zoomScale="85" zoomScaleNormal="85" workbookViewId="0">
      <selection activeCell="S311" sqref="S311:S31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3"/>
      <c r="N19" s="484"/>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T115</f>
        <v>1303</v>
      </c>
      <c r="U20" s="166" t="s">
        <v>4280</v>
      </c>
      <c r="V20" s="166">
        <v>192.1</v>
      </c>
      <c r="W20" s="166">
        <f t="shared" ref="W20:W51" si="6">V20*(1+$S$111+$R$15*T20/36500)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1389</v>
      </c>
      <c r="AN20" s="111">
        <f>AK20*AM20</f>
        <v>25002000000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6975</v>
      </c>
      <c r="N21" s="111">
        <v>1082</v>
      </c>
      <c r="O21" s="97"/>
      <c r="P21" s="97"/>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1388</v>
      </c>
      <c r="AN21" s="111">
        <f t="shared" ref="AN21:AN120" si="10">AK21*AM21</f>
        <v>3470000000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6976</v>
      </c>
      <c r="N22" s="111">
        <f>O22*P22</f>
        <v>117946955</v>
      </c>
      <c r="O22" s="97">
        <v>82193</v>
      </c>
      <c r="P22" s="97">
        <f>P51</f>
        <v>1435</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1387</v>
      </c>
      <c r="AN22" s="111">
        <f t="shared" si="10"/>
        <v>11096000000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6977</v>
      </c>
      <c r="N23" s="111">
        <f>O23*P23</f>
        <v>6362397</v>
      </c>
      <c r="O23" s="97">
        <v>11547</v>
      </c>
      <c r="P23" s="97">
        <f>P52</f>
        <v>551</v>
      </c>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1386</v>
      </c>
      <c r="AN23" s="111">
        <f t="shared" si="10"/>
        <v>-110259072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-148837762.51153898</v>
      </c>
      <c r="G24" s="93">
        <f t="shared" si="0"/>
        <v>429144107.89347762</v>
      </c>
      <c r="H24" s="11"/>
      <c r="I24" s="94"/>
      <c r="J24" s="94"/>
      <c r="K24" s="205"/>
      <c r="L24" s="115"/>
      <c r="M24" s="97"/>
      <c r="N24" s="97"/>
      <c r="O24" s="97"/>
      <c r="P24" s="97"/>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1385</v>
      </c>
      <c r="AN24" s="111">
        <f t="shared" si="10"/>
        <v>229217500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1373</v>
      </c>
      <c r="AN25" s="111">
        <f t="shared" si="10"/>
        <v>-39584038971</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1367</v>
      </c>
      <c r="AN26" s="111">
        <f t="shared" si="10"/>
        <v>25289500000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6851</v>
      </c>
      <c r="N27" s="111">
        <v>1281</v>
      </c>
      <c r="O27" s="97"/>
      <c r="P27" s="93"/>
      <c r="R27" s="167">
        <v>1563192</v>
      </c>
      <c r="S27" s="205" t="s">
        <v>4640</v>
      </c>
      <c r="T27" s="193">
        <f>T26-33</f>
        <v>1155</v>
      </c>
      <c r="U27" s="205" t="s">
        <v>4641</v>
      </c>
      <c r="V27" s="205">
        <v>168.8</v>
      </c>
      <c r="W27" s="205">
        <f t="shared" si="6"/>
        <v>320.92718465753427</v>
      </c>
      <c r="X27" s="32">
        <f t="shared" ref="X27:X46" si="12">W27*(1+$X$19/100)</f>
        <v>327.34572835068496</v>
      </c>
      <c r="Y27" s="32">
        <f t="shared" ref="Y27:Y46" si="13">W27*(1+$Y$19/100)</f>
        <v>333.76427204383566</v>
      </c>
      <c r="Z27" s="120">
        <v>9222</v>
      </c>
      <c r="AA27" s="94"/>
      <c r="AI27" s="97">
        <v>8</v>
      </c>
      <c r="AJ27" s="111" t="s">
        <v>1172</v>
      </c>
      <c r="AK27" s="111">
        <v>-18550000</v>
      </c>
      <c r="AL27" s="97">
        <v>1</v>
      </c>
      <c r="AM27" s="97">
        <f t="shared" si="9"/>
        <v>1366</v>
      </c>
      <c r="AN27" s="111">
        <f t="shared" si="10"/>
        <v>-25339300000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6852</v>
      </c>
      <c r="N28" s="111">
        <f>O28*P28</f>
        <v>585916240</v>
      </c>
      <c r="O28" s="97">
        <v>408304</v>
      </c>
      <c r="P28" s="93">
        <f>P51</f>
        <v>1435</v>
      </c>
      <c r="R28" s="167">
        <v>1204691</v>
      </c>
      <c r="S28" s="205" t="s">
        <v>4842</v>
      </c>
      <c r="T28" s="193">
        <f>T27-76</f>
        <v>1079</v>
      </c>
      <c r="U28" s="205" t="s">
        <v>4843</v>
      </c>
      <c r="V28" s="205">
        <v>218.5</v>
      </c>
      <c r="W28" s="205">
        <f t="shared" si="6"/>
        <v>402.67933698630139</v>
      </c>
      <c r="X28" s="32">
        <f t="shared" si="12"/>
        <v>410.73292372602742</v>
      </c>
      <c r="Y28" s="32">
        <f t="shared" si="13"/>
        <v>418.78651046575345</v>
      </c>
      <c r="Z28" s="120">
        <v>5488</v>
      </c>
      <c r="AA28" s="94"/>
      <c r="AI28" s="97">
        <v>9</v>
      </c>
      <c r="AJ28" s="111" t="s">
        <v>1179</v>
      </c>
      <c r="AK28" s="111">
        <v>-64961</v>
      </c>
      <c r="AL28" s="97">
        <v>5</v>
      </c>
      <c r="AM28" s="97">
        <f t="shared" si="9"/>
        <v>1365</v>
      </c>
      <c r="AN28" s="111">
        <f t="shared" si="10"/>
        <v>-88671765</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6853</v>
      </c>
      <c r="N29" s="111">
        <f>O29*P29</f>
        <v>15615891</v>
      </c>
      <c r="O29" s="97">
        <v>28341</v>
      </c>
      <c r="P29" s="93">
        <f>P52</f>
        <v>551</v>
      </c>
      <c r="R29" s="167">
        <v>15011877</v>
      </c>
      <c r="S29" s="205" t="s">
        <v>4845</v>
      </c>
      <c r="T29" s="193">
        <f>T28-3</f>
        <v>1076</v>
      </c>
      <c r="U29" s="205" t="s">
        <v>4849</v>
      </c>
      <c r="V29" s="205">
        <v>197.1</v>
      </c>
      <c r="W29" s="205">
        <f t="shared" si="6"/>
        <v>362.78712000000002</v>
      </c>
      <c r="X29" s="32">
        <f t="shared" si="12"/>
        <v>370.04286240000005</v>
      </c>
      <c r="Y29" s="32">
        <f t="shared" si="13"/>
        <v>377.29860480000002</v>
      </c>
      <c r="Z29" s="120">
        <v>75812</v>
      </c>
      <c r="AA29" s="94"/>
      <c r="AI29" s="97">
        <v>10</v>
      </c>
      <c r="AJ29" s="111" t="s">
        <v>1195</v>
      </c>
      <c r="AK29" s="111">
        <v>6400000</v>
      </c>
      <c r="AL29" s="97">
        <v>1</v>
      </c>
      <c r="AM29" s="97">
        <f t="shared" si="9"/>
        <v>1360</v>
      </c>
      <c r="AN29" s="111">
        <f t="shared" si="10"/>
        <v>8704000000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11"/>
      <c r="R30" s="167">
        <v>7046042.5001907032</v>
      </c>
      <c r="S30" s="205" t="s">
        <v>4856</v>
      </c>
      <c r="T30" s="193">
        <f>T29-5</f>
        <v>1071</v>
      </c>
      <c r="U30" s="205" t="s">
        <v>5555</v>
      </c>
      <c r="V30" s="205">
        <v>194.4</v>
      </c>
      <c r="W30" s="205">
        <f t="shared" si="6"/>
        <v>357.07178958904115</v>
      </c>
      <c r="X30" s="32">
        <f t="shared" si="12"/>
        <v>364.213225380822</v>
      </c>
      <c r="Y30" s="32">
        <f t="shared" si="13"/>
        <v>371.35466117260279</v>
      </c>
      <c r="Z30" s="120">
        <v>36073</v>
      </c>
      <c r="AA30" s="94"/>
      <c r="AI30" s="97">
        <v>11</v>
      </c>
      <c r="AJ30" s="111" t="s">
        <v>4037</v>
      </c>
      <c r="AK30" s="111">
        <v>-170000</v>
      </c>
      <c r="AL30" s="97">
        <v>5</v>
      </c>
      <c r="AM30" s="97">
        <f t="shared" si="9"/>
        <v>1359</v>
      </c>
      <c r="AN30" s="111">
        <f t="shared" si="10"/>
        <v>-231030000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200000000</v>
      </c>
      <c r="O31" s="97" t="s">
        <v>920</v>
      </c>
      <c r="P31" s="97" t="s">
        <v>3911</v>
      </c>
      <c r="Q31" s="67"/>
      <c r="R31" s="167">
        <v>5368238</v>
      </c>
      <c r="S31" s="205" t="s">
        <v>5561</v>
      </c>
      <c r="T31" s="193">
        <f>T30-465</f>
        <v>606</v>
      </c>
      <c r="U31" s="205" t="s">
        <v>5562</v>
      </c>
      <c r="V31" s="205">
        <v>1843</v>
      </c>
      <c r="W31" s="205">
        <f t="shared" si="6"/>
        <v>2727.781380821918</v>
      </c>
      <c r="X31" s="32">
        <f t="shared" si="12"/>
        <v>2782.3370084383564</v>
      </c>
      <c r="Y31" s="32">
        <f t="shared" si="13"/>
        <v>2836.8926360547948</v>
      </c>
      <c r="Z31">
        <v>2902</v>
      </c>
      <c r="AB31" s="94"/>
      <c r="AI31" s="97">
        <v>12</v>
      </c>
      <c r="AJ31" s="111" t="s">
        <v>1215</v>
      </c>
      <c r="AK31" s="111">
        <v>-6300000</v>
      </c>
      <c r="AL31" s="97">
        <v>1</v>
      </c>
      <c r="AM31" s="97">
        <f>AM32+AL31</f>
        <v>1354</v>
      </c>
      <c r="AN31" s="111">
        <f t="shared" si="10"/>
        <v>-8530200000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603</v>
      </c>
      <c r="U32" s="205" t="s">
        <v>5564</v>
      </c>
      <c r="V32" s="205">
        <v>1751</v>
      </c>
      <c r="W32" s="205">
        <f t="shared" si="6"/>
        <v>2587.5846246575347</v>
      </c>
      <c r="X32" s="32">
        <f t="shared" si="12"/>
        <v>2639.3363171506853</v>
      </c>
      <c r="Y32" s="32">
        <f t="shared" si="13"/>
        <v>2691.0880096438364</v>
      </c>
      <c r="Z32">
        <v>22871</v>
      </c>
      <c r="AI32" s="97">
        <v>13</v>
      </c>
      <c r="AJ32" s="111" t="s">
        <v>1224</v>
      </c>
      <c r="AK32" s="111">
        <v>-52015</v>
      </c>
      <c r="AL32" s="97">
        <v>16</v>
      </c>
      <c r="AM32" s="97">
        <f t="shared" si="9"/>
        <v>1353</v>
      </c>
      <c r="AN32" s="111">
        <f t="shared" si="10"/>
        <v>-70376295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t="s">
        <v>4272</v>
      </c>
      <c r="N33" s="111">
        <f t="shared" si="14"/>
        <v>3654623560</v>
      </c>
      <c r="O33" s="97">
        <f>SUM(Z20:Z78)</f>
        <v>2546776</v>
      </c>
      <c r="P33" s="183">
        <f>P51</f>
        <v>1435</v>
      </c>
      <c r="Q33" s="67">
        <f>N33*100/$S$188</f>
        <v>30.077637452609494</v>
      </c>
      <c r="R33" s="167">
        <v>16176504</v>
      </c>
      <c r="S33" s="205" t="s">
        <v>5565</v>
      </c>
      <c r="T33" s="193">
        <f>T32-1</f>
        <v>602</v>
      </c>
      <c r="U33" s="205" t="s">
        <v>5566</v>
      </c>
      <c r="V33" s="205">
        <v>1730</v>
      </c>
      <c r="W33" s="205">
        <f t="shared" si="6"/>
        <v>2555.2242191780824</v>
      </c>
      <c r="X33" s="32">
        <f t="shared" si="12"/>
        <v>2606.328703561644</v>
      </c>
      <c r="Y33" s="32">
        <f t="shared" si="13"/>
        <v>2657.4331879452056</v>
      </c>
      <c r="Z33">
        <v>9316</v>
      </c>
      <c r="AA33" t="s">
        <v>25</v>
      </c>
      <c r="AB33" s="94"/>
      <c r="AI33" s="97">
        <v>14</v>
      </c>
      <c r="AJ33" s="111" t="s">
        <v>3690</v>
      </c>
      <c r="AK33" s="111">
        <v>20017400</v>
      </c>
      <c r="AL33" s="97">
        <v>0</v>
      </c>
      <c r="AM33" s="97">
        <f t="shared" si="9"/>
        <v>1337</v>
      </c>
      <c r="AN33" s="111">
        <f t="shared" si="10"/>
        <v>26763263800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-156690597.51153898</v>
      </c>
      <c r="M34" s="205" t="s">
        <v>5260</v>
      </c>
      <c r="N34" s="111">
        <f t="shared" si="14"/>
        <v>430250003</v>
      </c>
      <c r="O34" s="97">
        <f>SUM(AB20:AB78)</f>
        <v>780853</v>
      </c>
      <c r="P34" s="183">
        <f>P52</f>
        <v>551</v>
      </c>
      <c r="Q34" s="67">
        <f>N34*100/$S$188</f>
        <v>3.5409675967333136</v>
      </c>
      <c r="R34" s="167">
        <v>47880291</v>
      </c>
      <c r="S34" s="205" t="s">
        <v>5572</v>
      </c>
      <c r="T34" s="193">
        <f>T33-8</f>
        <v>594</v>
      </c>
      <c r="U34" s="205" t="s">
        <v>5576</v>
      </c>
      <c r="V34" s="205">
        <v>1737.1</v>
      </c>
      <c r="W34" s="205">
        <f t="shared" si="6"/>
        <v>2555.0504186301368</v>
      </c>
      <c r="X34" s="32">
        <f t="shared" si="12"/>
        <v>2606.1514270027396</v>
      </c>
      <c r="Y34" s="32">
        <f t="shared" si="13"/>
        <v>2657.2524353753424</v>
      </c>
      <c r="Z34">
        <v>27461</v>
      </c>
      <c r="AB34" s="94"/>
      <c r="AI34" s="97">
        <v>15</v>
      </c>
      <c r="AJ34" s="111" t="s">
        <v>3690</v>
      </c>
      <c r="AK34" s="111">
        <v>1014466</v>
      </c>
      <c r="AL34" s="97">
        <v>12</v>
      </c>
      <c r="AM34" s="97">
        <f t="shared" si="9"/>
        <v>1337</v>
      </c>
      <c r="AN34" s="111">
        <f t="shared" si="10"/>
        <v>1356341042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728</v>
      </c>
      <c r="Q35" s="67"/>
      <c r="R35" s="167">
        <v>48859908</v>
      </c>
      <c r="S35" s="205" t="s">
        <v>5575</v>
      </c>
      <c r="T35" s="193">
        <f>T34-1</f>
        <v>593</v>
      </c>
      <c r="U35" s="205" t="s">
        <v>5579</v>
      </c>
      <c r="V35" s="205">
        <v>1730.1</v>
      </c>
      <c r="W35" s="205">
        <f t="shared" si="6"/>
        <v>2543.4271200000003</v>
      </c>
      <c r="X35" s="32">
        <f t="shared" si="12"/>
        <v>2594.2956624000003</v>
      </c>
      <c r="Y35" s="32">
        <f t="shared" si="13"/>
        <v>2645.1642048000003</v>
      </c>
      <c r="Z35">
        <v>28136</v>
      </c>
      <c r="AA35" t="s">
        <v>25</v>
      </c>
      <c r="AB35" s="94" t="s">
        <v>25</v>
      </c>
      <c r="AI35" s="97">
        <v>16</v>
      </c>
      <c r="AJ35" s="111" t="s">
        <v>1126</v>
      </c>
      <c r="AK35" s="111">
        <v>360000</v>
      </c>
      <c r="AL35" s="97">
        <v>2</v>
      </c>
      <c r="AM35" s="97">
        <f t="shared" si="9"/>
        <v>1325</v>
      </c>
      <c r="AN35" s="111">
        <f t="shared" si="10"/>
        <v>477000000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592</v>
      </c>
      <c r="U36" s="205" t="s">
        <v>5578</v>
      </c>
      <c r="V36" s="205">
        <v>1646</v>
      </c>
      <c r="W36" s="205">
        <f t="shared" si="6"/>
        <v>2418.5286794520548</v>
      </c>
      <c r="X36" s="32">
        <f t="shared" si="12"/>
        <v>2466.899253041096</v>
      </c>
      <c r="Y36" s="32">
        <f t="shared" si="13"/>
        <v>2515.2698266301372</v>
      </c>
      <c r="Z36">
        <v>23117</v>
      </c>
      <c r="AB36" s="94"/>
      <c r="AI36" s="97">
        <v>17</v>
      </c>
      <c r="AJ36" s="111" t="s">
        <v>3750</v>
      </c>
      <c r="AK36" s="111">
        <v>-350000</v>
      </c>
      <c r="AL36" s="97">
        <v>0</v>
      </c>
      <c r="AM36" s="97">
        <f t="shared" si="9"/>
        <v>1323</v>
      </c>
      <c r="AN36" s="111">
        <f t="shared" si="10"/>
        <v>-463050000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589</v>
      </c>
      <c r="U37" s="205" t="s">
        <v>5584</v>
      </c>
      <c r="V37" s="205">
        <v>1674.7</v>
      </c>
      <c r="W37" s="205">
        <f t="shared" si="6"/>
        <v>2456.8445468493151</v>
      </c>
      <c r="X37" s="32">
        <f t="shared" si="12"/>
        <v>2505.9814377863013</v>
      </c>
      <c r="Y37" s="32">
        <f t="shared" si="13"/>
        <v>2555.118328723288</v>
      </c>
      <c r="Z37">
        <v>41747</v>
      </c>
      <c r="AA37" t="s">
        <v>25</v>
      </c>
      <c r="AB37" s="94"/>
      <c r="AI37" s="97">
        <v>18</v>
      </c>
      <c r="AJ37" s="111" t="s">
        <v>3750</v>
      </c>
      <c r="AK37" s="111">
        <v>1000</v>
      </c>
      <c r="AL37" s="97">
        <v>1</v>
      </c>
      <c r="AM37" s="97">
        <f t="shared" si="9"/>
        <v>1323</v>
      </c>
      <c r="AN37" s="111">
        <f t="shared" si="10"/>
        <v>1323000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587</v>
      </c>
      <c r="U38" s="205" t="s">
        <v>5583</v>
      </c>
      <c r="V38" s="205">
        <v>1663</v>
      </c>
      <c r="W38" s="205">
        <f t="shared" si="6"/>
        <v>2437.1287780821917</v>
      </c>
      <c r="X38" s="32">
        <f t="shared" si="12"/>
        <v>2485.8713536438354</v>
      </c>
      <c r="Y38" s="32">
        <f t="shared" si="13"/>
        <v>2534.6139292054795</v>
      </c>
      <c r="Z38">
        <v>13949</v>
      </c>
      <c r="AA38" t="s">
        <v>25</v>
      </c>
      <c r="AB38" s="94"/>
      <c r="AI38" s="97">
        <v>19</v>
      </c>
      <c r="AJ38" s="111" t="s">
        <v>3754</v>
      </c>
      <c r="AK38" s="111">
        <v>33610000</v>
      </c>
      <c r="AL38" s="97">
        <v>4</v>
      </c>
      <c r="AM38" s="97">
        <f t="shared" si="9"/>
        <v>1322</v>
      </c>
      <c r="AN38" s="111">
        <f t="shared" si="10"/>
        <v>44432420000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87" t="s">
        <v>4415</v>
      </c>
      <c r="N39" s="111">
        <v>169</v>
      </c>
      <c r="O39" s="252"/>
      <c r="P39" s="97" t="s">
        <v>25</v>
      </c>
      <c r="Q39" s="67"/>
      <c r="R39" s="167">
        <v>1611237.824</v>
      </c>
      <c r="S39" s="205" t="s">
        <v>5585</v>
      </c>
      <c r="T39" s="193">
        <f>T38-1</f>
        <v>586</v>
      </c>
      <c r="U39" s="205" t="s">
        <v>5590</v>
      </c>
      <c r="V39" s="205">
        <v>1580</v>
      </c>
      <c r="W39" s="205">
        <f t="shared" si="6"/>
        <v>2314.2801095890413</v>
      </c>
      <c r="X39" s="32">
        <f t="shared" si="12"/>
        <v>2360.5657117808223</v>
      </c>
      <c r="Y39" s="32">
        <f t="shared" si="13"/>
        <v>2406.8513139726033</v>
      </c>
      <c r="Z39">
        <v>1016</v>
      </c>
      <c r="AB39" s="94" t="s">
        <v>25</v>
      </c>
      <c r="AC39" s="94"/>
      <c r="AD39" s="94"/>
      <c r="AE39" s="94"/>
      <c r="AI39" s="97">
        <v>20</v>
      </c>
      <c r="AJ39" s="111" t="s">
        <v>4038</v>
      </c>
      <c r="AK39" s="111">
        <v>-15600000</v>
      </c>
      <c r="AL39" s="97">
        <v>3</v>
      </c>
      <c r="AM39" s="97">
        <f t="shared" si="9"/>
        <v>1318</v>
      </c>
      <c r="AN39" s="111">
        <f t="shared" si="10"/>
        <v>-20560800000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444814125</v>
      </c>
      <c r="O40" s="67">
        <v>309975</v>
      </c>
      <c r="P40" s="97">
        <f>P51</f>
        <v>1435</v>
      </c>
      <c r="Q40" s="67">
        <f>N40*100/$S$188</f>
        <v>3.6608306617357114</v>
      </c>
      <c r="R40" s="167">
        <v>563902380</v>
      </c>
      <c r="S40" s="205" t="s">
        <v>5592</v>
      </c>
      <c r="T40" s="193">
        <f>T39-5</f>
        <v>581</v>
      </c>
      <c r="U40" s="205" t="s">
        <v>5594</v>
      </c>
      <c r="V40" s="205">
        <v>1560.1</v>
      </c>
      <c r="W40" s="205">
        <f t="shared" si="6"/>
        <v>2279.1479528767122</v>
      </c>
      <c r="X40" s="32">
        <f t="shared" si="12"/>
        <v>2324.7309119342467</v>
      </c>
      <c r="Y40" s="32">
        <f t="shared" si="13"/>
        <v>2370.3138709917807</v>
      </c>
      <c r="Z40">
        <v>360127</v>
      </c>
      <c r="AA40" s="113"/>
      <c r="AC40" s="94"/>
      <c r="AD40" s="94"/>
      <c r="AE40" s="94"/>
      <c r="AI40" s="97">
        <v>21</v>
      </c>
      <c r="AJ40" s="111" t="s">
        <v>3768</v>
      </c>
      <c r="AK40" s="111">
        <v>7500000</v>
      </c>
      <c r="AL40" s="97">
        <v>4</v>
      </c>
      <c r="AM40" s="97">
        <f t="shared" si="9"/>
        <v>1315</v>
      </c>
      <c r="AN40" s="111">
        <f t="shared" si="10"/>
        <v>9862500000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45621147</v>
      </c>
      <c r="O41" s="67">
        <v>82797</v>
      </c>
      <c r="P41" s="97">
        <f>P52</f>
        <v>551</v>
      </c>
      <c r="Q41" s="67">
        <f>N41*100/$S$188</f>
        <v>0.37546310778946634</v>
      </c>
      <c r="R41" s="167">
        <v>814638349</v>
      </c>
      <c r="S41" s="205" t="s">
        <v>5599</v>
      </c>
      <c r="T41" s="193">
        <f>T40-8</f>
        <v>573</v>
      </c>
      <c r="U41" s="205" t="s">
        <v>5600</v>
      </c>
      <c r="V41" s="205">
        <v>1667</v>
      </c>
      <c r="W41" s="205">
        <f t="shared" si="6"/>
        <v>2425.0876602739727</v>
      </c>
      <c r="X41" s="32">
        <f t="shared" si="12"/>
        <v>2473.5894134794521</v>
      </c>
      <c r="Y41" s="32">
        <f t="shared" si="13"/>
        <v>2522.0911666849315</v>
      </c>
      <c r="Z41">
        <v>486878</v>
      </c>
      <c r="AA41" s="113"/>
      <c r="AC41" s="94"/>
      <c r="AD41" s="94"/>
      <c r="AE41" s="94"/>
      <c r="AI41" s="97">
        <v>22</v>
      </c>
      <c r="AJ41" s="111" t="s">
        <v>4039</v>
      </c>
      <c r="AK41" s="111">
        <v>-98000</v>
      </c>
      <c r="AL41" s="97">
        <v>1</v>
      </c>
      <c r="AM41" s="97">
        <f t="shared" si="9"/>
        <v>1311</v>
      </c>
      <c r="AN41" s="111">
        <f t="shared" si="10"/>
        <v>-128478000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6988</v>
      </c>
      <c r="L42" s="115">
        <v>3000000</v>
      </c>
      <c r="M42" s="166"/>
      <c r="N42" s="111"/>
      <c r="P42" t="s">
        <v>25</v>
      </c>
      <c r="Q42" s="67"/>
      <c r="R42" s="167">
        <v>2537951</v>
      </c>
      <c r="S42" s="205" t="s">
        <v>5614</v>
      </c>
      <c r="T42" s="193">
        <f>T41-5</f>
        <v>568</v>
      </c>
      <c r="U42" s="205" t="s">
        <v>5615</v>
      </c>
      <c r="V42" s="205">
        <v>1768.2</v>
      </c>
      <c r="W42" s="205">
        <f t="shared" si="6"/>
        <v>2565.5274016438361</v>
      </c>
      <c r="X42" s="32">
        <f t="shared" si="12"/>
        <v>2616.8379496767129</v>
      </c>
      <c r="Y42" s="32">
        <f t="shared" si="13"/>
        <v>2668.1484977095897</v>
      </c>
      <c r="Z42">
        <v>1430</v>
      </c>
      <c r="AA42" s="113"/>
      <c r="AC42" s="113"/>
      <c r="AD42" s="113"/>
      <c r="AE42" s="113"/>
      <c r="AF42" s="113"/>
      <c r="AG42" s="113"/>
      <c r="AI42" s="97">
        <v>23</v>
      </c>
      <c r="AJ42" s="111" t="s">
        <v>4033</v>
      </c>
      <c r="AK42" s="111">
        <v>-26000000</v>
      </c>
      <c r="AL42" s="97">
        <v>0</v>
      </c>
      <c r="AM42" s="97">
        <f t="shared" si="9"/>
        <v>1310</v>
      </c>
      <c r="AN42" s="111">
        <f t="shared" si="10"/>
        <v>-34060000000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565</v>
      </c>
      <c r="U43" s="205" t="s">
        <v>5630</v>
      </c>
      <c r="V43" s="205">
        <v>1582.3</v>
      </c>
      <c r="W43" s="205">
        <f t="shared" si="6"/>
        <v>2292.1587956164385</v>
      </c>
      <c r="X43" s="32">
        <f t="shared" si="12"/>
        <v>2338.0019715287672</v>
      </c>
      <c r="Y43" s="32">
        <f t="shared" si="13"/>
        <v>2383.8451474410963</v>
      </c>
      <c r="Z43" s="94">
        <v>42448</v>
      </c>
      <c r="AA43" s="120"/>
      <c r="AC43" s="113"/>
      <c r="AD43" s="113"/>
      <c r="AE43" s="113"/>
      <c r="AF43" s="113"/>
      <c r="AG43" s="113"/>
      <c r="AI43" s="97">
        <v>24</v>
      </c>
      <c r="AJ43" s="111" t="s">
        <v>4033</v>
      </c>
      <c r="AK43" s="111">
        <v>25000000</v>
      </c>
      <c r="AL43" s="97">
        <v>1</v>
      </c>
      <c r="AM43" s="97">
        <f t="shared" si="9"/>
        <v>1310</v>
      </c>
      <c r="AN43" s="111">
        <f t="shared" si="10"/>
        <v>32750000000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564</v>
      </c>
      <c r="U44" s="205" t="s">
        <v>5631</v>
      </c>
      <c r="V44" s="205">
        <v>1610.6</v>
      </c>
      <c r="W44" s="205">
        <f t="shared" si="6"/>
        <v>2331.9193446575341</v>
      </c>
      <c r="X44" s="32">
        <f t="shared" si="12"/>
        <v>2378.5577315506848</v>
      </c>
      <c r="Y44" s="32">
        <f t="shared" si="13"/>
        <v>2425.1961184438355</v>
      </c>
      <c r="Z44" s="94">
        <v>14475</v>
      </c>
      <c r="AA44" s="120" t="s">
        <v>25</v>
      </c>
      <c r="AC44" s="113"/>
      <c r="AD44" s="113"/>
      <c r="AE44" s="113" t="s">
        <v>25</v>
      </c>
      <c r="AF44" s="113"/>
      <c r="AG44" s="113"/>
      <c r="AI44" s="97">
        <v>25</v>
      </c>
      <c r="AJ44" s="111" t="s">
        <v>4034</v>
      </c>
      <c r="AK44" s="111">
        <v>110000</v>
      </c>
      <c r="AL44" s="97">
        <v>1</v>
      </c>
      <c r="AM44" s="97">
        <f t="shared" si="9"/>
        <v>1309</v>
      </c>
      <c r="AN44" s="111">
        <f t="shared" si="10"/>
        <v>143990000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560</v>
      </c>
      <c r="U45" s="205" t="s">
        <v>5634</v>
      </c>
      <c r="V45" s="205">
        <v>1582</v>
      </c>
      <c r="W45" s="205">
        <f t="shared" si="6"/>
        <v>2285.6562630136987</v>
      </c>
      <c r="X45" s="32">
        <f t="shared" si="12"/>
        <v>2331.3693882739726</v>
      </c>
      <c r="Y45" s="32">
        <f t="shared" si="13"/>
        <v>2377.0825135342466</v>
      </c>
      <c r="Z45" s="94">
        <v>71983</v>
      </c>
      <c r="AA45" s="120"/>
      <c r="AB45" s="94"/>
      <c r="AC45" s="113"/>
      <c r="AD45" s="113" t="s">
        <v>25</v>
      </c>
      <c r="AE45" s="113" t="s">
        <v>25</v>
      </c>
      <c r="AF45" s="113"/>
      <c r="AG45" s="113" t="s">
        <v>25</v>
      </c>
      <c r="AI45" s="97">
        <v>26</v>
      </c>
      <c r="AJ45" s="111" t="s">
        <v>3783</v>
      </c>
      <c r="AK45" s="111">
        <v>380000</v>
      </c>
      <c r="AL45" s="97">
        <v>7</v>
      </c>
      <c r="AM45" s="97">
        <f t="shared" si="9"/>
        <v>1308</v>
      </c>
      <c r="AN45" s="111">
        <f t="shared" si="10"/>
        <v>497040000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6410</v>
      </c>
      <c r="N46" s="111">
        <v>-14000000</v>
      </c>
      <c r="O46" t="s">
        <v>25</v>
      </c>
      <c r="P46" t="s">
        <v>25</v>
      </c>
      <c r="Q46" s="67"/>
      <c r="R46" s="167"/>
      <c r="S46" s="205" t="s">
        <v>5635</v>
      </c>
      <c r="T46" s="193">
        <f>T45-1</f>
        <v>559</v>
      </c>
      <c r="U46" s="205" t="s">
        <v>5636</v>
      </c>
      <c r="V46" s="205">
        <v>1530</v>
      </c>
      <c r="W46" s="205">
        <f t="shared" si="6"/>
        <v>2209.3535342465752</v>
      </c>
      <c r="X46" s="32">
        <f t="shared" si="12"/>
        <v>2253.540604931507</v>
      </c>
      <c r="Y46" s="32">
        <f t="shared" si="13"/>
        <v>2297.7276756164383</v>
      </c>
      <c r="Z46" s="94">
        <v>2971</v>
      </c>
      <c r="AA46" s="120"/>
      <c r="AB46" s="94"/>
      <c r="AC46" s="113"/>
      <c r="AD46" s="113"/>
      <c r="AE46" s="113"/>
      <c r="AF46" s="113"/>
      <c r="AG46" s="113"/>
      <c r="AI46" s="97">
        <v>27</v>
      </c>
      <c r="AJ46" s="111" t="s">
        <v>3869</v>
      </c>
      <c r="AK46" s="111">
        <v>450000</v>
      </c>
      <c r="AL46" s="97">
        <v>6</v>
      </c>
      <c r="AM46" s="97">
        <f t="shared" si="9"/>
        <v>1301</v>
      </c>
      <c r="AN46" s="111">
        <f t="shared" si="10"/>
        <v>585450000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6411</v>
      </c>
      <c r="N47" s="111">
        <v>-34200000</v>
      </c>
      <c r="O47" s="273"/>
      <c r="P47" s="94"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1295</v>
      </c>
      <c r="AN47" s="111">
        <f t="shared" si="10"/>
        <v>3626000000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6963</v>
      </c>
      <c r="L48" s="115">
        <v>25000000</v>
      </c>
      <c r="M48" s="166"/>
      <c r="N48" s="111"/>
      <c r="O48" s="112"/>
      <c r="P48" s="94"/>
      <c r="Q48" s="67"/>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1294</v>
      </c>
      <c r="AN48" s="111">
        <f t="shared" si="10"/>
        <v>-1941000000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1294</v>
      </c>
      <c r="AN49" s="111">
        <f t="shared" si="10"/>
        <v>3946700000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7">
        <v>147</v>
      </c>
      <c r="O50" s="112"/>
      <c r="P50" t="s">
        <v>25</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1291</v>
      </c>
      <c r="AN50" s="111">
        <f t="shared" si="10"/>
        <v>-10714799092</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4921780220</v>
      </c>
      <c r="O51" s="97">
        <f>SUM(Z115:Z146)</f>
        <v>3429812</v>
      </c>
      <c r="P51" s="97">
        <v>1435</v>
      </c>
      <c r="Q51" s="67">
        <f>N51*100/$S$188</f>
        <v>40.506366428225128</v>
      </c>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1289</v>
      </c>
      <c r="AN51" s="111">
        <f t="shared" si="10"/>
        <v>6445000000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6917</v>
      </c>
      <c r="L52" s="115">
        <f>-22*P59</f>
        <v>-29040000</v>
      </c>
      <c r="M52" s="19" t="s">
        <v>5260</v>
      </c>
      <c r="N52" s="111">
        <f t="shared" ref="N52:N58" si="17">O52*P52</f>
        <v>2465165735</v>
      </c>
      <c r="O52" s="97">
        <f>SUM(AB115:AB146)</f>
        <v>4473985</v>
      </c>
      <c r="P52" s="97">
        <v>551</v>
      </c>
      <c r="Q52" s="67">
        <f>N52*100/$S$188</f>
        <v>20.288371707953857</v>
      </c>
      <c r="R52" s="167"/>
      <c r="S52" s="205" t="s">
        <v>5663</v>
      </c>
      <c r="T52" s="193">
        <f>T51-2</f>
        <v>531</v>
      </c>
      <c r="U52" s="205" t="s">
        <v>5664</v>
      </c>
      <c r="V52" s="205"/>
      <c r="W52" s="205">
        <f t="shared" ref="W52:W75" si="18">V52*(1+$S$111+$R$15*T52/36500)</f>
        <v>0</v>
      </c>
      <c r="X52" s="32">
        <f t="shared" si="15"/>
        <v>0</v>
      </c>
      <c r="Y52" s="32">
        <f t="shared" si="16"/>
        <v>0</v>
      </c>
      <c r="Z52" s="94">
        <v>19196</v>
      </c>
      <c r="AA52" s="120"/>
      <c r="AB52" s="94"/>
      <c r="AI52" s="97">
        <v>33</v>
      </c>
      <c r="AJ52" s="111" t="s">
        <v>973</v>
      </c>
      <c r="AK52" s="111">
        <v>-90000</v>
      </c>
      <c r="AL52" s="97">
        <v>1</v>
      </c>
      <c r="AM52" s="97">
        <f t="shared" si="9"/>
        <v>1275</v>
      </c>
      <c r="AN52" s="111">
        <f t="shared" si="10"/>
        <v>-114750000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6980</v>
      </c>
      <c r="N53" s="111">
        <f t="shared" si="17"/>
        <v>2184000</v>
      </c>
      <c r="O53" s="97">
        <v>3000</v>
      </c>
      <c r="P53" s="97">
        <f>P51-707</f>
        <v>728</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1274</v>
      </c>
      <c r="AN53" s="111">
        <f t="shared" si="10"/>
        <v>7134400000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6990</v>
      </c>
      <c r="L54" s="115">
        <v>1650000</v>
      </c>
      <c r="M54" s="19" t="s">
        <v>4354</v>
      </c>
      <c r="N54" s="115">
        <f t="shared" si="17"/>
        <v>0</v>
      </c>
      <c r="O54" s="67">
        <v>0</v>
      </c>
      <c r="P54" s="67">
        <v>16919</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1270</v>
      </c>
      <c r="AN54" s="111">
        <f t="shared" si="10"/>
        <v>952500000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482</v>
      </c>
      <c r="U55" s="205" t="s">
        <v>6755</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1268</v>
      </c>
      <c r="AN55" s="168">
        <f t="shared" si="10"/>
        <v>-5378856000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1266</v>
      </c>
      <c r="AN56" s="111">
        <f t="shared" si="10"/>
        <v>5190600000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1266</v>
      </c>
      <c r="AN57" s="111">
        <f t="shared" si="10"/>
        <v>5190600000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6259</v>
      </c>
      <c r="N58" s="111">
        <f t="shared" si="17"/>
        <v>0</v>
      </c>
      <c r="O58" s="97">
        <v>0</v>
      </c>
      <c r="P58" s="97">
        <v>1</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1265</v>
      </c>
      <c r="AN58" s="111">
        <f t="shared" si="10"/>
        <v>999350000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1320000</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1250</v>
      </c>
      <c r="AN59" s="170">
        <f t="shared" si="10"/>
        <v>-4831250000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1244</v>
      </c>
      <c r="AN60" s="111">
        <f t="shared" si="10"/>
        <v>23387200000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T115-1085</f>
        <v>218</v>
      </c>
      <c r="U61" s="205" t="s">
        <v>6847</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1241</v>
      </c>
      <c r="AN61" s="111">
        <f t="shared" si="10"/>
        <v>620500000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6757</v>
      </c>
      <c r="T62" s="193">
        <f>T115-1138</f>
        <v>165</v>
      </c>
      <c r="U62" s="205" t="s">
        <v>6758</v>
      </c>
      <c r="V62" s="205">
        <v>1500</v>
      </c>
      <c r="W62" s="205">
        <f t="shared" si="18"/>
        <v>1712.6630136986303</v>
      </c>
      <c r="X62" s="32">
        <f t="shared" ref="X62:X78" si="21">W62*(1+$X$19/100)</f>
        <v>1746.916273972603</v>
      </c>
      <c r="Y62" s="32">
        <f t="shared" ref="Y62:Y78" si="22">W62*(1+$Y$19/100)</f>
        <v>1781.1695342465755</v>
      </c>
      <c r="Z62" s="120">
        <v>65644</v>
      </c>
      <c r="AA62" s="120"/>
      <c r="AB62" s="378"/>
      <c r="AC62" s="94"/>
      <c r="AD62" s="94"/>
      <c r="AI62" s="20">
        <v>43</v>
      </c>
      <c r="AJ62" s="115" t="s">
        <v>4069</v>
      </c>
      <c r="AK62" s="115">
        <v>200000</v>
      </c>
      <c r="AL62" s="20">
        <v>3</v>
      </c>
      <c r="AM62" s="97">
        <f>AM63+AL62</f>
        <v>1240</v>
      </c>
      <c r="AN62" s="111">
        <f t="shared" si="10"/>
        <v>248000000</v>
      </c>
      <c r="AO62" s="20"/>
    </row>
    <row r="63" spans="1:46">
      <c r="E63" s="26"/>
      <c r="J63" s="112"/>
      <c r="K63" s="205"/>
      <c r="L63" s="115"/>
      <c r="M63" s="166"/>
      <c r="N63" s="111"/>
      <c r="P63" t="s">
        <v>25</v>
      </c>
      <c r="Q63" s="113"/>
      <c r="R63" s="167"/>
      <c r="S63" s="205" t="s">
        <v>6809</v>
      </c>
      <c r="T63" s="193">
        <f>T115-1144</f>
        <v>159</v>
      </c>
      <c r="U63" s="205" t="s">
        <v>6810</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1237</v>
      </c>
      <c r="AN63" s="111">
        <f t="shared" si="10"/>
        <v>1237000000</v>
      </c>
      <c r="AO63" s="20"/>
    </row>
    <row r="64" spans="1:46">
      <c r="E64" s="26"/>
      <c r="J64" s="112"/>
      <c r="K64" s="205" t="s">
        <v>5495</v>
      </c>
      <c r="L64" s="115"/>
      <c r="M64" s="166" t="s">
        <v>4401</v>
      </c>
      <c r="N64" s="111">
        <f>-X157</f>
        <v>-134606750.73423111</v>
      </c>
      <c r="P64" t="s">
        <v>25</v>
      </c>
      <c r="Q64" s="120"/>
      <c r="R64" s="167"/>
      <c r="S64" s="205" t="s">
        <v>6837</v>
      </c>
      <c r="T64" s="193">
        <f>T115-1164</f>
        <v>139</v>
      </c>
      <c r="U64" s="205" t="s">
        <v>6838</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1234</v>
      </c>
      <c r="AN64" s="111">
        <f t="shared" si="10"/>
        <v>1604200000</v>
      </c>
      <c r="AO64" s="20"/>
    </row>
    <row r="65" spans="1:41" ht="45">
      <c r="J65" s="112"/>
      <c r="K65" s="241" t="s">
        <v>5517</v>
      </c>
      <c r="L65" s="115">
        <v>-1605910</v>
      </c>
      <c r="M65" s="166"/>
      <c r="N65" s="111"/>
      <c r="P65" t="s">
        <v>25</v>
      </c>
      <c r="R65" s="167"/>
      <c r="S65" s="205" t="s">
        <v>6839</v>
      </c>
      <c r="T65" s="193">
        <f>T115-1165</f>
        <v>138</v>
      </c>
      <c r="U65" s="205" t="s">
        <v>6912</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1234</v>
      </c>
      <c r="AN65" s="111">
        <f t="shared" si="10"/>
        <v>1227830000</v>
      </c>
      <c r="AO65" s="20"/>
    </row>
    <row r="66" spans="1:41">
      <c r="K66" s="205"/>
      <c r="L66" s="115"/>
      <c r="M66" s="166"/>
      <c r="N66" s="111"/>
      <c r="Q66" s="113"/>
      <c r="R66" s="167"/>
      <c r="S66" s="205" t="s">
        <v>6848</v>
      </c>
      <c r="T66" s="193">
        <f>T115-1185</f>
        <v>118</v>
      </c>
      <c r="U66" s="205" t="s">
        <v>6868</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1232</v>
      </c>
      <c r="AN66" s="111">
        <f t="shared" si="10"/>
        <v>16016000000</v>
      </c>
      <c r="AO66" s="20"/>
    </row>
    <row r="67" spans="1:41">
      <c r="A67" t="s">
        <v>25</v>
      </c>
      <c r="F67" t="s">
        <v>310</v>
      </c>
      <c r="G67" s="9" t="s">
        <v>4080</v>
      </c>
      <c r="I67" s="94" t="s">
        <v>6183</v>
      </c>
      <c r="K67" s="205"/>
      <c r="L67" s="115"/>
      <c r="M67" s="166"/>
      <c r="N67" s="111">
        <f>SUM(N16:N66)</f>
        <v>12711873139.265768</v>
      </c>
      <c r="P67" t="s">
        <v>25</v>
      </c>
      <c r="Q67" s="113"/>
      <c r="R67" s="167"/>
      <c r="S67" s="205" t="s">
        <v>6872</v>
      </c>
      <c r="T67" s="193">
        <f>T115-1205</f>
        <v>98</v>
      </c>
      <c r="U67" s="205" t="s">
        <v>6873</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1230</v>
      </c>
      <c r="AN67" s="111">
        <f t="shared" si="10"/>
        <v>-3813000000</v>
      </c>
      <c r="AO67" s="20"/>
    </row>
    <row r="68" spans="1:41">
      <c r="F68" t="s">
        <v>4084</v>
      </c>
      <c r="G68" s="9" t="s">
        <v>4079</v>
      </c>
      <c r="I68" s="120" t="s">
        <v>6184</v>
      </c>
      <c r="K68" s="205" t="s">
        <v>592</v>
      </c>
      <c r="L68" s="111">
        <f>SUM(L16:L49)</f>
        <v>-148837762.51153898</v>
      </c>
      <c r="M68" s="166"/>
      <c r="N68" s="111" t="e">
        <f>N16+N17+#REF!</f>
        <v>#REF!</v>
      </c>
      <c r="P68" t="s">
        <v>25</v>
      </c>
      <c r="R68" s="167"/>
      <c r="S68" s="205" t="s">
        <v>6874</v>
      </c>
      <c r="T68" s="193">
        <f>T115-1207</f>
        <v>96</v>
      </c>
      <c r="U68" s="205" t="s">
        <v>6875</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1227</v>
      </c>
      <c r="AN68" s="111">
        <f t="shared" si="10"/>
        <v>56000280000</v>
      </c>
      <c r="AO68" s="20"/>
    </row>
    <row r="69" spans="1:41">
      <c r="F69" t="s">
        <v>4085</v>
      </c>
      <c r="G69" s="9" t="s">
        <v>4081</v>
      </c>
      <c r="I69" s="112" t="s">
        <v>6185</v>
      </c>
      <c r="K69" s="205" t="s">
        <v>593</v>
      </c>
      <c r="L69" s="111">
        <f>L16+L17+L34</f>
        <v>-151984225.51153898</v>
      </c>
      <c r="M69" s="111"/>
      <c r="N69" s="166"/>
      <c r="O69" s="113"/>
      <c r="P69" s="113" t="s">
        <v>25</v>
      </c>
      <c r="R69" s="167"/>
      <c r="S69" s="205" t="s">
        <v>987</v>
      </c>
      <c r="T69" s="193">
        <f>T115-1211</f>
        <v>92</v>
      </c>
      <c r="U69" s="205" t="s">
        <v>6876</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1226</v>
      </c>
      <c r="AN69" s="111">
        <f t="shared" si="10"/>
        <v>41071000000</v>
      </c>
      <c r="AO69" s="20"/>
    </row>
    <row r="70" spans="1:41">
      <c r="G70" t="s">
        <v>4082</v>
      </c>
      <c r="I70" s="120" t="s">
        <v>6191</v>
      </c>
      <c r="K70" s="54" t="s">
        <v>708</v>
      </c>
      <c r="L70" s="111">
        <f>L68+N7</f>
        <v>-48837762.511538982</v>
      </c>
      <c r="R70" s="167"/>
      <c r="S70" s="205" t="s">
        <v>6879</v>
      </c>
      <c r="T70" s="193">
        <f>T115-1214</f>
        <v>89</v>
      </c>
      <c r="U70" s="205" t="s">
        <v>6880</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1225</v>
      </c>
      <c r="AN70" s="115">
        <f t="shared" si="10"/>
        <v>14700000000</v>
      </c>
      <c r="AO70" s="20"/>
    </row>
    <row r="71" spans="1:41">
      <c r="G71" t="s">
        <v>4083</v>
      </c>
      <c r="M71" s="25"/>
      <c r="R71" s="167"/>
      <c r="S71" s="205" t="s">
        <v>6881</v>
      </c>
      <c r="T71" s="193">
        <f>T115-1217</f>
        <v>86</v>
      </c>
      <c r="U71" s="205" t="s">
        <v>6885</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1224</v>
      </c>
      <c r="AN71" s="115">
        <f t="shared" si="10"/>
        <v>18972000000</v>
      </c>
      <c r="AO71" s="20"/>
    </row>
    <row r="72" spans="1:41">
      <c r="G72" t="s">
        <v>4087</v>
      </c>
      <c r="Q72" s="113"/>
      <c r="R72" s="167"/>
      <c r="S72" s="205" t="s">
        <v>6895</v>
      </c>
      <c r="T72" s="193">
        <f>T115-1260</f>
        <v>43</v>
      </c>
      <c r="U72" s="205" t="s">
        <v>6923</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1220</v>
      </c>
      <c r="AN72" s="115">
        <f t="shared" si="10"/>
        <v>183000000</v>
      </c>
      <c r="AO72" s="20"/>
    </row>
    <row r="73" spans="1:41">
      <c r="G73" t="s">
        <v>4086</v>
      </c>
      <c r="R73" s="167"/>
      <c r="S73" s="205" t="s">
        <v>6921</v>
      </c>
      <c r="T73" s="193">
        <f>T115-1273</f>
        <v>30</v>
      </c>
      <c r="U73" s="205" t="s">
        <v>6922</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1219</v>
      </c>
      <c r="AN73" s="178">
        <f t="shared" si="10"/>
        <v>35351000000</v>
      </c>
      <c r="AO73" s="177" t="s">
        <v>4159</v>
      </c>
    </row>
    <row r="74" spans="1:41">
      <c r="J74" s="205" t="s">
        <v>4480</v>
      </c>
      <c r="K74" s="205" t="s">
        <v>4595</v>
      </c>
      <c r="L74" s="32" t="s">
        <v>4597</v>
      </c>
      <c r="M74" s="32" t="s">
        <v>4572</v>
      </c>
      <c r="N74" s="205" t="s">
        <v>4573</v>
      </c>
      <c r="Q74" s="374" t="s">
        <v>25</v>
      </c>
      <c r="R74" s="167"/>
      <c r="S74" s="205" t="s">
        <v>6973</v>
      </c>
      <c r="T74" s="193">
        <f>T84-1305</f>
        <v>-2</v>
      </c>
      <c r="U74" s="205" t="s">
        <v>6978</v>
      </c>
      <c r="V74" s="205">
        <v>1413</v>
      </c>
      <c r="W74" s="205">
        <f t="shared" si="18"/>
        <v>1432.3097095890412</v>
      </c>
      <c r="X74" s="32">
        <f t="shared" si="21"/>
        <v>1460.9559037808219</v>
      </c>
      <c r="Y74" s="32">
        <f t="shared" si="22"/>
        <v>1489.6020979726029</v>
      </c>
      <c r="Z74" s="120">
        <v>35074</v>
      </c>
      <c r="AA74" s="120"/>
      <c r="AB74" s="429"/>
      <c r="AC74" s="94"/>
      <c r="AD74" t="s">
        <v>25</v>
      </c>
      <c r="AI74" s="20">
        <v>54</v>
      </c>
      <c r="AJ74" s="115" t="s">
        <v>4183</v>
      </c>
      <c r="AK74" s="115">
        <v>-130000</v>
      </c>
      <c r="AL74" s="20">
        <v>7</v>
      </c>
      <c r="AM74" s="97">
        <f t="shared" si="23"/>
        <v>1204</v>
      </c>
      <c r="AN74" s="115">
        <f t="shared" si="10"/>
        <v>-156520000</v>
      </c>
      <c r="AO74" s="20" t="s">
        <v>4185</v>
      </c>
    </row>
    <row r="75" spans="1:41">
      <c r="H75" s="25"/>
      <c r="I75" s="94"/>
      <c r="J75" s="206" t="s">
        <v>4216</v>
      </c>
      <c r="K75" s="195">
        <v>837</v>
      </c>
      <c r="L75" s="207">
        <f t="shared" ref="L75:L80" si="24">K75*$L$83</f>
        <v>11048400000</v>
      </c>
      <c r="M75" s="207">
        <f>N33+N40+N51</f>
        <v>9021217905</v>
      </c>
      <c r="N75" s="181">
        <f t="shared" ref="N75:N80" si="25">L75-M75</f>
        <v>2027182095</v>
      </c>
      <c r="R75" s="167"/>
      <c r="S75" s="205" t="s">
        <v>6983</v>
      </c>
      <c r="T75" s="193">
        <f>T115-1306</f>
        <v>-3</v>
      </c>
      <c r="U75" s="205" t="s">
        <v>6984</v>
      </c>
      <c r="V75" s="205">
        <v>1424</v>
      </c>
      <c r="W75" s="205">
        <f t="shared" si="18"/>
        <v>1442.3676493150688</v>
      </c>
      <c r="X75" s="32">
        <f t="shared" si="21"/>
        <v>1471.2150023013701</v>
      </c>
      <c r="Y75" s="32">
        <f t="shared" si="22"/>
        <v>1500.0623552876716</v>
      </c>
      <c r="Z75" s="120">
        <v>34983</v>
      </c>
      <c r="AA75" s="120"/>
      <c r="AB75" s="482"/>
      <c r="AC75" s="94"/>
      <c r="AI75" s="20">
        <v>55</v>
      </c>
      <c r="AJ75" s="115" t="s">
        <v>4231</v>
      </c>
      <c r="AK75" s="115">
        <v>232000</v>
      </c>
      <c r="AL75" s="20">
        <v>2</v>
      </c>
      <c r="AM75" s="97">
        <f t="shared" si="23"/>
        <v>1197</v>
      </c>
      <c r="AN75" s="115">
        <f>AK75*AM75</f>
        <v>277704000</v>
      </c>
      <c r="AO75" s="20" t="s">
        <v>4233</v>
      </c>
    </row>
    <row r="76" spans="1:41">
      <c r="D76" s="3"/>
      <c r="E76" s="11" t="s">
        <v>304</v>
      </c>
      <c r="H76" s="175"/>
      <c r="I76" s="94"/>
      <c r="J76" s="32" t="s">
        <v>5260</v>
      </c>
      <c r="K76" s="205">
        <v>229</v>
      </c>
      <c r="L76" s="1">
        <f t="shared" si="24"/>
        <v>3022800000</v>
      </c>
      <c r="M76" s="1">
        <f>N52+N41+N34</f>
        <v>2941036885</v>
      </c>
      <c r="N76" s="111">
        <f t="shared" si="25"/>
        <v>81763115</v>
      </c>
      <c r="R76" s="167"/>
      <c r="S76" s="205"/>
      <c r="T76" s="193"/>
      <c r="U76" s="205"/>
      <c r="V76" s="205"/>
      <c r="W76" s="205"/>
      <c r="X76" s="32"/>
      <c r="Y76" s="32"/>
      <c r="Z76" s="120"/>
      <c r="AA76" s="120"/>
      <c r="AB76" s="482"/>
      <c r="AC76" s="94" t="s">
        <v>25</v>
      </c>
      <c r="AI76" s="20">
        <v>56</v>
      </c>
      <c r="AJ76" s="115" t="s">
        <v>4241</v>
      </c>
      <c r="AK76" s="115">
        <v>-170000</v>
      </c>
      <c r="AL76" s="20">
        <v>3</v>
      </c>
      <c r="AM76" s="97">
        <f t="shared" si="23"/>
        <v>1195</v>
      </c>
      <c r="AN76" s="115">
        <f t="shared" si="10"/>
        <v>-203150000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c r="T77" s="193"/>
      <c r="U77" s="205"/>
      <c r="V77" s="205"/>
      <c r="W77" s="205"/>
      <c r="X77" s="32"/>
      <c r="Y77" s="32"/>
      <c r="Z77" s="120"/>
      <c r="AA77" s="120"/>
      <c r="AB77" s="424"/>
      <c r="AI77" s="20">
        <v>57</v>
      </c>
      <c r="AJ77" s="115" t="s">
        <v>4255</v>
      </c>
      <c r="AK77" s="115">
        <v>-300000</v>
      </c>
      <c r="AL77" s="20">
        <v>3</v>
      </c>
      <c r="AM77" s="97">
        <f t="shared" si="23"/>
        <v>1192</v>
      </c>
      <c r="AN77" s="115">
        <f t="shared" si="10"/>
        <v>-357600000</v>
      </c>
      <c r="AO77" s="20"/>
    </row>
    <row r="78" spans="1:41">
      <c r="D78" s="1" t="s">
        <v>321</v>
      </c>
      <c r="E78" s="1">
        <v>100000</v>
      </c>
      <c r="H78" s="120" t="s">
        <v>4372</v>
      </c>
      <c r="J78" s="260" t="s">
        <v>5281</v>
      </c>
      <c r="K78" s="187">
        <v>0</v>
      </c>
      <c r="L78" s="261">
        <f t="shared" si="24"/>
        <v>0</v>
      </c>
      <c r="M78" s="261">
        <f>N31+N39+N50</f>
        <v>200000316</v>
      </c>
      <c r="N78" s="186">
        <f>L78-M78</f>
        <v>-200000316</v>
      </c>
      <c r="P78" s="113"/>
      <c r="R78" s="167" t="s">
        <v>25</v>
      </c>
      <c r="S78" s="166" t="s">
        <v>25</v>
      </c>
      <c r="T78" s="166" t="s">
        <v>25</v>
      </c>
      <c r="U78" s="166" t="s">
        <v>25</v>
      </c>
      <c r="V78" s="166"/>
      <c r="W78" s="205" t="e">
        <f>V78*(1+$S$111+$R$15*T78/36500)</f>
        <v>#VALUE!</v>
      </c>
      <c r="X78" s="32" t="e">
        <f t="shared" si="21"/>
        <v>#VALUE!</v>
      </c>
      <c r="Y78" s="32" t="e">
        <f t="shared" si="22"/>
        <v>#VALUE!</v>
      </c>
      <c r="Z78" s="120"/>
      <c r="AA78" s="120" t="s">
        <v>25</v>
      </c>
      <c r="AB78" s="94"/>
      <c r="AE78" s="113"/>
      <c r="AF78" s="113"/>
      <c r="AI78" s="20">
        <v>58</v>
      </c>
      <c r="AJ78" s="115" t="s">
        <v>4264</v>
      </c>
      <c r="AK78" s="115">
        <v>-11400000</v>
      </c>
      <c r="AL78" s="20">
        <v>13</v>
      </c>
      <c r="AM78" s="97">
        <f t="shared" ref="AM78:AM83" si="26">AM79+AL78</f>
        <v>1189</v>
      </c>
      <c r="AN78" s="115">
        <f t="shared" si="10"/>
        <v>-13554600000</v>
      </c>
      <c r="AO78" s="20"/>
    </row>
    <row r="79" spans="1:41">
      <c r="D79" s="1" t="s">
        <v>306</v>
      </c>
      <c r="E79" s="1">
        <v>80000</v>
      </c>
      <c r="H79" s="120"/>
      <c r="I79" s="94"/>
      <c r="J79" s="206" t="s">
        <v>314</v>
      </c>
      <c r="K79" s="195">
        <v>0</v>
      </c>
      <c r="L79" s="207">
        <f t="shared" si="24"/>
        <v>0</v>
      </c>
      <c r="M79" s="207">
        <f>N53+N35+N58+N32</f>
        <v>2184000</v>
      </c>
      <c r="N79" s="181">
        <f t="shared" si="25"/>
        <v>-2184000</v>
      </c>
      <c r="R79" s="167">
        <f>SUM(N33:N36)-SUM(R20:R78)</f>
        <v>2282629214.6758094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26"/>
        <v>1176</v>
      </c>
      <c r="AN79" s="115">
        <f>AK79*AM79</f>
        <v>-11760000000</v>
      </c>
      <c r="AO79" s="20"/>
    </row>
    <row r="80" spans="1:41">
      <c r="D80" s="31" t="s">
        <v>307</v>
      </c>
      <c r="E80" s="1">
        <v>150000</v>
      </c>
      <c r="H80" s="120" t="s">
        <v>4514</v>
      </c>
      <c r="I80" s="94"/>
      <c r="J80" s="236" t="s">
        <v>6857</v>
      </c>
      <c r="K80" s="189">
        <v>-164</v>
      </c>
      <c r="L80" s="237">
        <f t="shared" si="24"/>
        <v>-2164800000</v>
      </c>
      <c r="M80" s="237">
        <v>0</v>
      </c>
      <c r="N80" s="84">
        <f t="shared" si="25"/>
        <v>-2164800000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26"/>
        <v>1175</v>
      </c>
      <c r="AN80" s="115">
        <f>AK80*AM80</f>
        <v>-2878750000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t="s">
        <v>25</v>
      </c>
      <c r="AE81" s="113"/>
      <c r="AF81" s="113"/>
      <c r="AG81" s="113"/>
      <c r="AI81" s="20">
        <v>61</v>
      </c>
      <c r="AJ81" s="115" t="s">
        <v>4338</v>
      </c>
      <c r="AK81" s="115">
        <v>-456081</v>
      </c>
      <c r="AL81" s="20">
        <v>1</v>
      </c>
      <c r="AM81" s="97">
        <f t="shared" si="26"/>
        <v>1170</v>
      </c>
      <c r="AN81" s="115">
        <f t="shared" si="10"/>
        <v>-533614770</v>
      </c>
      <c r="AO81" s="20"/>
    </row>
    <row r="82" spans="4:53" ht="31.5">
      <c r="D82" s="31" t="s">
        <v>309</v>
      </c>
      <c r="E82" s="1">
        <v>100000</v>
      </c>
      <c r="F82" s="204"/>
      <c r="G82" s="22" t="s">
        <v>4631</v>
      </c>
      <c r="H82" s="238" t="s">
        <v>4915</v>
      </c>
      <c r="I82" s="94"/>
      <c r="J82" s="206" t="s">
        <v>4978</v>
      </c>
      <c r="K82" s="195">
        <f>SUM(K75:K80)</f>
        <v>902</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26"/>
        <v>1169</v>
      </c>
      <c r="AN82" s="115">
        <f t="shared" si="10"/>
        <v>-584500000</v>
      </c>
      <c r="AO82" s="20"/>
      <c r="AP82" t="s">
        <v>25</v>
      </c>
      <c r="AV82"/>
      <c r="AX82" t="s">
        <v>25</v>
      </c>
    </row>
    <row r="83" spans="4:53" ht="30">
      <c r="D83" s="31" t="s">
        <v>310</v>
      </c>
      <c r="E83" s="1">
        <v>200000</v>
      </c>
      <c r="F83" t="s">
        <v>4652</v>
      </c>
      <c r="H83" s="120"/>
      <c r="J83" s="32"/>
      <c r="K83" s="205">
        <v>0</v>
      </c>
      <c r="L83" s="39">
        <f>10*P59</f>
        <v>13200000</v>
      </c>
      <c r="M83" s="1">
        <f>K83*L83</f>
        <v>0</v>
      </c>
      <c r="N83" s="111">
        <f>SUM(N75:N81)-M83</f>
        <v>-258039106</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26"/>
        <v>1167</v>
      </c>
      <c r="AN83" s="115">
        <f t="shared" si="10"/>
        <v>-7275509790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1303</v>
      </c>
      <c r="U84" s="166"/>
      <c r="V84" s="166"/>
      <c r="W84" s="71"/>
      <c r="X84" s="32"/>
      <c r="Y84" s="32"/>
      <c r="AC84" s="113"/>
      <c r="AD84" s="126"/>
      <c r="AE84" s="113"/>
      <c r="AF84" s="113"/>
      <c r="AG84" s="113"/>
      <c r="AI84" s="20">
        <v>64</v>
      </c>
      <c r="AJ84" s="115" t="s">
        <v>4365</v>
      </c>
      <c r="AK84" s="115">
        <v>1950957</v>
      </c>
      <c r="AL84" s="20">
        <v>4</v>
      </c>
      <c r="AM84" s="97">
        <f t="shared" si="23"/>
        <v>1164</v>
      </c>
      <c r="AN84" s="115">
        <f t="shared" si="10"/>
        <v>2270913948</v>
      </c>
      <c r="AO84" s="20"/>
      <c r="BA84" t="s">
        <v>25</v>
      </c>
    </row>
    <row r="85" spans="4:53">
      <c r="D85" s="32" t="s">
        <v>312</v>
      </c>
      <c r="E85" s="1">
        <v>200000</v>
      </c>
      <c r="F85" t="s">
        <v>4707</v>
      </c>
      <c r="J85" s="487" t="s">
        <v>4596</v>
      </c>
      <c r="K85" s="488"/>
      <c r="L85" s="1"/>
      <c r="M85" s="1"/>
      <c r="N85" s="111"/>
      <c r="R85" s="167">
        <v>863944</v>
      </c>
      <c r="S85" s="166" t="s">
        <v>4394</v>
      </c>
      <c r="T85" s="166">
        <f>T84-62</f>
        <v>1241</v>
      </c>
      <c r="U85" s="188" t="s">
        <v>4453</v>
      </c>
      <c r="V85" s="166">
        <v>184.6</v>
      </c>
      <c r="W85" s="166">
        <f t="shared" ref="W85:W102" si="27">V85*(1+$S$111+$R$15*T85/36500)</f>
        <v>363.14512000000002</v>
      </c>
      <c r="X85" s="32">
        <f t="shared" ref="X85:X92" si="28">W85*(1+$X$19/100)</f>
        <v>370.40802240000005</v>
      </c>
      <c r="Y85" s="32">
        <f t="shared" ref="Y85:Y92" si="29">W85*(1+$Y$19/100)</f>
        <v>377.67092480000002</v>
      </c>
      <c r="Z85" s="94">
        <v>4661</v>
      </c>
      <c r="AB85" s="113"/>
      <c r="AC85" s="113"/>
      <c r="AD85" s="126"/>
      <c r="AE85" s="113"/>
      <c r="AF85" s="113"/>
      <c r="AG85" s="113"/>
      <c r="AI85" s="20">
        <v>65</v>
      </c>
      <c r="AJ85" s="115" t="s">
        <v>4388</v>
      </c>
      <c r="AK85" s="115">
        <v>600000</v>
      </c>
      <c r="AL85" s="20">
        <v>5</v>
      </c>
      <c r="AM85" s="97">
        <f t="shared" si="23"/>
        <v>1160</v>
      </c>
      <c r="AN85" s="115">
        <f t="shared" si="10"/>
        <v>696000000</v>
      </c>
      <c r="AO85" s="20"/>
    </row>
    <row r="86" spans="4:53">
      <c r="D86" s="32" t="s">
        <v>313</v>
      </c>
      <c r="E86" s="1">
        <v>20000</v>
      </c>
      <c r="F86" t="s">
        <v>4708</v>
      </c>
      <c r="R86" s="167">
        <v>1692313</v>
      </c>
      <c r="S86" s="166" t="s">
        <v>4456</v>
      </c>
      <c r="T86" s="193">
        <f>T85-21</f>
        <v>1220</v>
      </c>
      <c r="U86" s="187" t="s">
        <v>4457</v>
      </c>
      <c r="V86" s="166">
        <v>168.5</v>
      </c>
      <c r="W86" s="166">
        <f t="shared" si="27"/>
        <v>328.75873424657539</v>
      </c>
      <c r="X86" s="32">
        <f t="shared" si="28"/>
        <v>335.33390893150693</v>
      </c>
      <c r="Y86" s="32">
        <f t="shared" si="29"/>
        <v>341.90908361643841</v>
      </c>
      <c r="Z86" s="94">
        <v>10000</v>
      </c>
      <c r="AB86" s="113"/>
      <c r="AC86" s="113"/>
      <c r="AD86" s="126"/>
      <c r="AE86" s="113"/>
      <c r="AF86" s="113"/>
      <c r="AG86" s="113"/>
      <c r="AI86" s="20">
        <v>66</v>
      </c>
      <c r="AJ86" s="115" t="s">
        <v>4396</v>
      </c>
      <c r="AK86" s="115">
        <v>7500000</v>
      </c>
      <c r="AL86" s="20">
        <v>2</v>
      </c>
      <c r="AM86" s="97">
        <f t="shared" si="23"/>
        <v>1155</v>
      </c>
      <c r="AN86" s="115">
        <f t="shared" si="10"/>
        <v>8662500000</v>
      </c>
      <c r="AO86" s="20"/>
      <c r="AT86" s="94"/>
    </row>
    <row r="87" spans="4:53" ht="26.25">
      <c r="D87" s="32" t="s">
        <v>315</v>
      </c>
      <c r="E87" s="1">
        <v>50000</v>
      </c>
      <c r="F87" t="s">
        <v>4709</v>
      </c>
      <c r="H87" s="235"/>
      <c r="R87" s="167">
        <v>101153</v>
      </c>
      <c r="S87" s="166" t="s">
        <v>4459</v>
      </c>
      <c r="T87" s="193">
        <f>T86-1</f>
        <v>1219</v>
      </c>
      <c r="U87" s="187" t="s">
        <v>4461</v>
      </c>
      <c r="V87" s="166">
        <v>166.7</v>
      </c>
      <c r="W87" s="166">
        <f t="shared" si="27"/>
        <v>325.11889205479451</v>
      </c>
      <c r="X87" s="32">
        <f t="shared" si="28"/>
        <v>331.62126989589041</v>
      </c>
      <c r="Y87" s="32">
        <f t="shared" si="29"/>
        <v>338.1236477369863</v>
      </c>
      <c r="Z87" s="94">
        <v>604</v>
      </c>
      <c r="AB87" s="120" t="s">
        <v>25</v>
      </c>
      <c r="AC87" s="113"/>
      <c r="AD87" s="126"/>
      <c r="AE87" s="113"/>
      <c r="AF87" s="113"/>
      <c r="AG87" s="113"/>
      <c r="AI87" s="20">
        <v>67</v>
      </c>
      <c r="AJ87" s="115" t="s">
        <v>4400</v>
      </c>
      <c r="AK87" s="115">
        <v>-587816</v>
      </c>
      <c r="AL87" s="20">
        <v>3</v>
      </c>
      <c r="AM87" s="97">
        <f t="shared" si="23"/>
        <v>1153</v>
      </c>
      <c r="AN87" s="115">
        <f t="shared" si="10"/>
        <v>-677751848</v>
      </c>
      <c r="AO87" s="20"/>
      <c r="AT87" s="94"/>
    </row>
    <row r="88" spans="4:53">
      <c r="D88" s="32" t="s">
        <v>316</v>
      </c>
      <c r="E88" s="1">
        <v>90000</v>
      </c>
      <c r="F88" t="s">
        <v>4479</v>
      </c>
      <c r="R88" s="167">
        <v>183105</v>
      </c>
      <c r="S88" s="166" t="s">
        <v>4204</v>
      </c>
      <c r="T88" s="193">
        <f>T87-1</f>
        <v>1218</v>
      </c>
      <c r="U88" s="187" t="s">
        <v>4465</v>
      </c>
      <c r="V88" s="166">
        <v>166.6</v>
      </c>
      <c r="W88" s="166">
        <f t="shared" si="27"/>
        <v>324.79605698630138</v>
      </c>
      <c r="X88" s="32">
        <f t="shared" si="28"/>
        <v>331.2919781260274</v>
      </c>
      <c r="Y88" s="32">
        <f t="shared" si="29"/>
        <v>337.78789926575342</v>
      </c>
      <c r="Z88" s="94">
        <v>1094</v>
      </c>
      <c r="AB88" s="113" t="s">
        <v>25</v>
      </c>
      <c r="AC88" s="113"/>
      <c r="AD88" s="126"/>
      <c r="AE88" s="113"/>
      <c r="AF88" s="113"/>
      <c r="AG88" s="113"/>
      <c r="AI88" s="20">
        <v>68</v>
      </c>
      <c r="AJ88" s="115" t="s">
        <v>4399</v>
      </c>
      <c r="AK88" s="115">
        <v>-907489</v>
      </c>
      <c r="AL88" s="20">
        <v>0</v>
      </c>
      <c r="AM88" s="97">
        <f>AM89+AL88</f>
        <v>1150</v>
      </c>
      <c r="AN88" s="115">
        <f t="shared" si="10"/>
        <v>-1043612350</v>
      </c>
      <c r="AO88" s="20"/>
      <c r="AQ88" t="s">
        <v>25</v>
      </c>
      <c r="AW88" t="s">
        <v>25</v>
      </c>
    </row>
    <row r="89" spans="4:53">
      <c r="D89" s="32" t="s">
        <v>317</v>
      </c>
      <c r="E89" s="1">
        <v>50000</v>
      </c>
      <c r="F89" t="s">
        <v>4520</v>
      </c>
      <c r="H89" s="240" t="s">
        <v>4920</v>
      </c>
      <c r="R89" s="167">
        <v>168846</v>
      </c>
      <c r="S89" s="166" t="s">
        <v>3673</v>
      </c>
      <c r="T89" s="193">
        <f>T88-30</f>
        <v>1188</v>
      </c>
      <c r="U89" s="187" t="s">
        <v>4547</v>
      </c>
      <c r="V89" s="166">
        <v>172.2</v>
      </c>
      <c r="W89" s="166">
        <f t="shared" si="27"/>
        <v>331.75061260273969</v>
      </c>
      <c r="X89" s="32">
        <f t="shared" si="28"/>
        <v>338.38562485479451</v>
      </c>
      <c r="Y89" s="32">
        <f t="shared" si="29"/>
        <v>345.02063710684928</v>
      </c>
      <c r="Z89" s="94">
        <v>976</v>
      </c>
      <c r="AB89" s="113"/>
      <c r="AD89" s="113" t="s">
        <v>25</v>
      </c>
      <c r="AE89" s="113"/>
      <c r="AF89" s="113"/>
      <c r="AG89" s="113"/>
      <c r="AH89" s="113"/>
      <c r="AI89" s="20">
        <v>69</v>
      </c>
      <c r="AJ89" s="115" t="s">
        <v>4399</v>
      </c>
      <c r="AK89" s="115">
        <v>2450000</v>
      </c>
      <c r="AL89" s="20">
        <v>1</v>
      </c>
      <c r="AM89" s="97">
        <f t="shared" si="23"/>
        <v>1150</v>
      </c>
      <c r="AN89" s="115">
        <f t="shared" si="10"/>
        <v>2817500000</v>
      </c>
      <c r="AO89" s="20" t="s">
        <v>4428</v>
      </c>
      <c r="AR89" t="s">
        <v>25</v>
      </c>
      <c r="AS89" t="s">
        <v>25</v>
      </c>
    </row>
    <row r="90" spans="4:53">
      <c r="D90" s="32" t="s">
        <v>327</v>
      </c>
      <c r="E90" s="1">
        <v>150000</v>
      </c>
      <c r="F90" t="s">
        <v>4478</v>
      </c>
      <c r="H90" s="240" t="s">
        <v>4921</v>
      </c>
      <c r="R90" s="167">
        <v>19918023</v>
      </c>
      <c r="S90" s="5" t="s">
        <v>4766</v>
      </c>
      <c r="T90" s="193">
        <f>T89-75</f>
        <v>1113</v>
      </c>
      <c r="U90" s="187" t="s">
        <v>4768</v>
      </c>
      <c r="V90" s="205">
        <v>183</v>
      </c>
      <c r="W90" s="205">
        <f t="shared" si="27"/>
        <v>342.02850410958905</v>
      </c>
      <c r="X90" s="32">
        <f t="shared" si="28"/>
        <v>348.86907419178084</v>
      </c>
      <c r="Y90" s="32">
        <f t="shared" si="29"/>
        <v>355.70964427397263</v>
      </c>
      <c r="Z90" s="94">
        <v>108344</v>
      </c>
      <c r="AA90" s="113"/>
      <c r="AB90" s="113"/>
      <c r="AD90" s="113"/>
      <c r="AE90" s="113"/>
      <c r="AF90"/>
      <c r="AH90" s="113"/>
      <c r="AI90" s="20">
        <v>70</v>
      </c>
      <c r="AJ90" s="115" t="s">
        <v>4430</v>
      </c>
      <c r="AK90" s="115">
        <v>1500000</v>
      </c>
      <c r="AL90" s="20">
        <v>1</v>
      </c>
      <c r="AM90" s="97">
        <f t="shared" si="23"/>
        <v>1149</v>
      </c>
      <c r="AN90" s="115">
        <f t="shared" si="10"/>
        <v>1723500000</v>
      </c>
      <c r="AO90" s="20"/>
      <c r="AQ90" t="s">
        <v>25</v>
      </c>
      <c r="AV90" s="94" t="s">
        <v>25</v>
      </c>
    </row>
    <row r="91" spans="4:53">
      <c r="D91" s="32" t="s">
        <v>318</v>
      </c>
      <c r="E91" s="1">
        <v>15000</v>
      </c>
      <c r="F91" s="22" t="s">
        <v>4216</v>
      </c>
      <c r="R91" s="167">
        <v>1200301</v>
      </c>
      <c r="S91" s="19" t="s">
        <v>4842</v>
      </c>
      <c r="T91" s="193">
        <f>T90-34</f>
        <v>1079</v>
      </c>
      <c r="U91" s="187" t="s">
        <v>4844</v>
      </c>
      <c r="V91" s="205">
        <v>218.5</v>
      </c>
      <c r="W91" s="205">
        <f t="shared" si="27"/>
        <v>402.67933698630139</v>
      </c>
      <c r="X91" s="32">
        <f t="shared" si="28"/>
        <v>410.73292372602742</v>
      </c>
      <c r="Y91" s="32">
        <f t="shared" si="29"/>
        <v>418.78651046575345</v>
      </c>
      <c r="Z91" s="94">
        <v>5468</v>
      </c>
      <c r="AA91" s="113"/>
      <c r="AB91" s="113"/>
      <c r="AF91"/>
      <c r="AH91" s="94"/>
      <c r="AI91" s="20">
        <v>71</v>
      </c>
      <c r="AJ91" s="115" t="s">
        <v>4436</v>
      </c>
      <c r="AK91" s="115">
        <v>2648000</v>
      </c>
      <c r="AL91" s="20">
        <v>1</v>
      </c>
      <c r="AM91" s="97">
        <f t="shared" si="23"/>
        <v>1148</v>
      </c>
      <c r="AN91" s="115">
        <f t="shared" si="10"/>
        <v>3039904000</v>
      </c>
      <c r="AO91" s="20" t="s">
        <v>4437</v>
      </c>
      <c r="AV91" s="94" t="s">
        <v>25</v>
      </c>
    </row>
    <row r="92" spans="4:53">
      <c r="D92" s="32" t="s">
        <v>319</v>
      </c>
      <c r="E92" s="1">
        <v>20000</v>
      </c>
      <c r="F92" t="s">
        <v>4475</v>
      </c>
      <c r="R92" s="167">
        <v>5837196.2537021004</v>
      </c>
      <c r="S92" s="19" t="s">
        <v>4866</v>
      </c>
      <c r="T92" s="193">
        <f>T91-16</f>
        <v>1063</v>
      </c>
      <c r="U92" s="187" t="s">
        <v>5588</v>
      </c>
      <c r="V92" s="205">
        <v>196.2</v>
      </c>
      <c r="W92" s="205">
        <f t="shared" si="27"/>
        <v>359.17393315068495</v>
      </c>
      <c r="X92" s="32">
        <f t="shared" si="28"/>
        <v>366.35741181369866</v>
      </c>
      <c r="Y92" s="32">
        <f t="shared" si="29"/>
        <v>373.54089047671238</v>
      </c>
      <c r="Z92" s="94">
        <v>29619</v>
      </c>
      <c r="AA92" s="113"/>
      <c r="AB92" s="113"/>
      <c r="AF92"/>
      <c r="AH92" s="94"/>
      <c r="AI92" s="20">
        <v>72</v>
      </c>
      <c r="AJ92" s="115" t="s">
        <v>4205</v>
      </c>
      <c r="AK92" s="115">
        <v>615000</v>
      </c>
      <c r="AL92" s="20">
        <v>4</v>
      </c>
      <c r="AM92" s="97">
        <f t="shared" si="23"/>
        <v>1147</v>
      </c>
      <c r="AN92" s="115">
        <f t="shared" si="10"/>
        <v>705405000</v>
      </c>
      <c r="AO92" s="20"/>
      <c r="AW92" t="s">
        <v>25</v>
      </c>
    </row>
    <row r="93" spans="4:53" ht="18.75">
      <c r="D93" s="32" t="s">
        <v>320</v>
      </c>
      <c r="E93" s="1">
        <v>40000</v>
      </c>
      <c r="F93" t="s">
        <v>4268</v>
      </c>
      <c r="H93" s="280" t="s">
        <v>6850</v>
      </c>
      <c r="R93" s="167">
        <v>2948152</v>
      </c>
      <c r="S93" s="19" t="s">
        <v>5623</v>
      </c>
      <c r="T93" s="193">
        <f>T92-498</f>
        <v>565</v>
      </c>
      <c r="U93" s="187" t="s">
        <v>5624</v>
      </c>
      <c r="V93" s="205">
        <v>1550</v>
      </c>
      <c r="W93" s="205">
        <f t="shared" si="27"/>
        <v>2245.3682191780827</v>
      </c>
      <c r="X93" s="32">
        <f t="shared" ref="X93:X99" si="30">W93*(1+$X$19/100)</f>
        <v>2290.2755835616445</v>
      </c>
      <c r="Y93" s="32">
        <f t="shared" ref="Y93:Y99" si="31">W93*(1+$Y$19/100)</f>
        <v>2335.1829479452063</v>
      </c>
      <c r="Z93" s="94">
        <v>1895</v>
      </c>
      <c r="AF93"/>
      <c r="AH93" s="94"/>
      <c r="AI93" s="20">
        <v>73</v>
      </c>
      <c r="AJ93" s="115" t="s">
        <v>4447</v>
      </c>
      <c r="AK93" s="115">
        <v>14000000</v>
      </c>
      <c r="AL93" s="20">
        <v>2</v>
      </c>
      <c r="AM93" s="97">
        <f>AM94+AL93</f>
        <v>1143</v>
      </c>
      <c r="AN93" s="115">
        <f t="shared" si="10"/>
        <v>16002000000</v>
      </c>
      <c r="AO93" s="20"/>
    </row>
    <row r="94" spans="4:53">
      <c r="D94" s="32" t="s">
        <v>322</v>
      </c>
      <c r="E94" s="1">
        <v>150000</v>
      </c>
      <c r="F94" s="94"/>
      <c r="G94" s="94"/>
      <c r="H94" s="94"/>
      <c r="I94" s="94" t="s">
        <v>25</v>
      </c>
      <c r="R94" s="167"/>
      <c r="S94" s="19" t="s">
        <v>5719</v>
      </c>
      <c r="T94" s="193">
        <f>T93-83</f>
        <v>482</v>
      </c>
      <c r="U94" s="187" t="s">
        <v>5720</v>
      </c>
      <c r="V94" s="205">
        <v>1275</v>
      </c>
      <c r="W94" s="205">
        <f t="shared" si="27"/>
        <v>1765.8156164383563</v>
      </c>
      <c r="X94" s="32">
        <f t="shared" si="30"/>
        <v>1801.1319287671236</v>
      </c>
      <c r="Y94" s="32">
        <f t="shared" si="31"/>
        <v>1836.4482410958906</v>
      </c>
      <c r="Z94" s="94">
        <v>48654</v>
      </c>
      <c r="AI94" s="20">
        <v>74</v>
      </c>
      <c r="AJ94" s="115" t="s">
        <v>4451</v>
      </c>
      <c r="AK94" s="115">
        <v>1313000</v>
      </c>
      <c r="AL94" s="20">
        <v>0</v>
      </c>
      <c r="AM94" s="97">
        <f>AM95+AL94</f>
        <v>1141</v>
      </c>
      <c r="AN94" s="115">
        <f t="shared" si="10"/>
        <v>1498133000</v>
      </c>
      <c r="AO94" s="20"/>
      <c r="AR94" t="s">
        <v>25</v>
      </c>
    </row>
    <row r="95" spans="4:53">
      <c r="D95" s="32" t="s">
        <v>324</v>
      </c>
      <c r="E95" s="1">
        <v>75000</v>
      </c>
      <c r="F95" s="94"/>
      <c r="G95" s="94"/>
      <c r="H95" s="94"/>
      <c r="I95" s="94"/>
      <c r="R95" s="167"/>
      <c r="S95" s="19" t="s">
        <v>5727</v>
      </c>
      <c r="T95" s="193">
        <f>T94-5</f>
        <v>477</v>
      </c>
      <c r="U95" s="187" t="s">
        <v>5728</v>
      </c>
      <c r="V95" s="205">
        <v>1210</v>
      </c>
      <c r="W95" s="205">
        <f t="shared" si="27"/>
        <v>1671.1525479452057</v>
      </c>
      <c r="X95" s="32">
        <f t="shared" si="30"/>
        <v>1704.5755989041099</v>
      </c>
      <c r="Y95" s="32">
        <f t="shared" si="31"/>
        <v>1737.998649863014</v>
      </c>
      <c r="Z95" s="94">
        <v>450</v>
      </c>
      <c r="AA95" s="94"/>
      <c r="AB95" s="94"/>
      <c r="AI95" s="97">
        <v>75</v>
      </c>
      <c r="AJ95" s="111" t="s">
        <v>4451</v>
      </c>
      <c r="AK95" s="111">
        <v>2269000</v>
      </c>
      <c r="AL95" s="97">
        <v>1</v>
      </c>
      <c r="AM95" s="97">
        <f t="shared" ref="AM95:AM120" si="32">AM96+AL95</f>
        <v>1141</v>
      </c>
      <c r="AN95" s="115">
        <f t="shared" si="10"/>
        <v>2588929000</v>
      </c>
      <c r="AO95" s="97"/>
    </row>
    <row r="96" spans="4:53">
      <c r="D96" s="32" t="s">
        <v>314</v>
      </c>
      <c r="E96" s="1">
        <v>140000</v>
      </c>
      <c r="F96" s="94"/>
      <c r="G96" s="94"/>
      <c r="H96" s="94"/>
      <c r="I96" s="94" t="s">
        <v>25</v>
      </c>
      <c r="R96" s="167"/>
      <c r="S96" s="19" t="s">
        <v>5733</v>
      </c>
      <c r="T96" s="193">
        <f>T95-4</f>
        <v>473</v>
      </c>
      <c r="U96" s="187" t="s">
        <v>5734</v>
      </c>
      <c r="V96" s="205">
        <v>1175</v>
      </c>
      <c r="W96" s="205">
        <f t="shared" si="27"/>
        <v>1619.2079452054797</v>
      </c>
      <c r="X96" s="32">
        <f t="shared" si="30"/>
        <v>1651.5921041095894</v>
      </c>
      <c r="Y96" s="32">
        <f t="shared" si="31"/>
        <v>1683.9762630136991</v>
      </c>
      <c r="Z96" s="94">
        <v>27754</v>
      </c>
      <c r="AA96" s="94"/>
      <c r="AB96" s="94"/>
      <c r="AI96" s="97">
        <v>76</v>
      </c>
      <c r="AJ96" s="111" t="s">
        <v>4206</v>
      </c>
      <c r="AK96" s="111">
        <v>750000</v>
      </c>
      <c r="AL96" s="97">
        <v>4</v>
      </c>
      <c r="AM96" s="97">
        <f t="shared" si="32"/>
        <v>1140</v>
      </c>
      <c r="AN96" s="115">
        <f t="shared" si="10"/>
        <v>855000000</v>
      </c>
      <c r="AO96" s="97"/>
      <c r="AR96" t="s">
        <v>25</v>
      </c>
    </row>
    <row r="97" spans="4:48">
      <c r="D97" s="2" t="s">
        <v>476</v>
      </c>
      <c r="E97" s="3">
        <v>1083333</v>
      </c>
      <c r="F97" s="313"/>
      <c r="G97" s="313"/>
      <c r="H97" s="313"/>
      <c r="I97" s="313"/>
      <c r="R97" s="167"/>
      <c r="S97" s="19" t="s">
        <v>5735</v>
      </c>
      <c r="T97" s="193">
        <f>T96-3</f>
        <v>470</v>
      </c>
      <c r="U97" s="187" t="s">
        <v>5736</v>
      </c>
      <c r="V97" s="205">
        <v>1148</v>
      </c>
      <c r="W97" s="205">
        <f t="shared" si="27"/>
        <v>1579.3586410958906</v>
      </c>
      <c r="X97" s="32">
        <f t="shared" si="30"/>
        <v>1610.9458139178084</v>
      </c>
      <c r="Y97" s="32">
        <f t="shared" si="31"/>
        <v>1642.5329867397263</v>
      </c>
      <c r="Z97" s="94">
        <v>8020</v>
      </c>
      <c r="AA97" s="94"/>
      <c r="AB97" s="94"/>
      <c r="AI97" s="97">
        <v>77</v>
      </c>
      <c r="AJ97" s="111" t="s">
        <v>4456</v>
      </c>
      <c r="AK97" s="111">
        <v>1900000</v>
      </c>
      <c r="AL97" s="97">
        <v>3</v>
      </c>
      <c r="AM97" s="97">
        <f t="shared" si="32"/>
        <v>1136</v>
      </c>
      <c r="AN97" s="115">
        <f t="shared" si="10"/>
        <v>2158400000</v>
      </c>
      <c r="AO97" s="97"/>
    </row>
    <row r="98" spans="4:48">
      <c r="D98" s="2"/>
      <c r="E98" s="3"/>
      <c r="F98" s="94"/>
      <c r="G98" s="94"/>
      <c r="H98" s="94"/>
      <c r="I98" s="94"/>
      <c r="R98" s="167"/>
      <c r="S98" s="19" t="s">
        <v>5739</v>
      </c>
      <c r="T98" s="193">
        <f>T97-1</f>
        <v>469</v>
      </c>
      <c r="U98" s="187" t="s">
        <v>5740</v>
      </c>
      <c r="V98" s="205">
        <v>1141</v>
      </c>
      <c r="W98" s="205">
        <f t="shared" si="27"/>
        <v>1568.8531178082194</v>
      </c>
      <c r="X98" s="32">
        <f t="shared" si="30"/>
        <v>1600.2301801643839</v>
      </c>
      <c r="Y98" s="32">
        <f t="shared" si="31"/>
        <v>1631.6072425205482</v>
      </c>
      <c r="Z98" s="94">
        <v>3695</v>
      </c>
      <c r="AA98" s="94"/>
      <c r="AB98" s="94"/>
      <c r="AI98" s="97">
        <v>78</v>
      </c>
      <c r="AJ98" s="111" t="s">
        <v>4469</v>
      </c>
      <c r="AK98" s="111">
        <v>6400000</v>
      </c>
      <c r="AL98" s="97">
        <v>1</v>
      </c>
      <c r="AM98" s="97">
        <f t="shared" si="32"/>
        <v>1133</v>
      </c>
      <c r="AN98" s="115">
        <f t="shared" si="10"/>
        <v>7251200000</v>
      </c>
      <c r="AO98" s="97"/>
    </row>
    <row r="99" spans="4:48">
      <c r="D99" s="2"/>
      <c r="E99" s="3"/>
      <c r="F99" s="411"/>
      <c r="G99" s="411"/>
      <c r="H99" s="411"/>
      <c r="I99" s="411"/>
      <c r="R99" s="167"/>
      <c r="S99" s="19" t="s">
        <v>5737</v>
      </c>
      <c r="T99" s="193">
        <f>T98-1</f>
        <v>468</v>
      </c>
      <c r="U99" s="187" t="s">
        <v>6816</v>
      </c>
      <c r="V99" s="205">
        <v>1171</v>
      </c>
      <c r="W99" s="205">
        <f t="shared" si="27"/>
        <v>1609.2042410958904</v>
      </c>
      <c r="X99" s="32">
        <f t="shared" si="30"/>
        <v>1641.3883259178083</v>
      </c>
      <c r="Y99" s="32">
        <f t="shared" si="31"/>
        <v>1673.5724107397261</v>
      </c>
      <c r="Z99" s="94">
        <v>54223</v>
      </c>
      <c r="AI99" s="97">
        <v>79</v>
      </c>
      <c r="AJ99" s="111" t="s">
        <v>4467</v>
      </c>
      <c r="AK99" s="111">
        <v>5000</v>
      </c>
      <c r="AL99" s="97">
        <v>5</v>
      </c>
      <c r="AM99" s="97">
        <f t="shared" si="32"/>
        <v>1132</v>
      </c>
      <c r="AN99" s="115">
        <f t="shared" si="10"/>
        <v>5660000</v>
      </c>
      <c r="AO99" s="97"/>
      <c r="AQ99" t="s">
        <v>25</v>
      </c>
    </row>
    <row r="100" spans="4:48">
      <c r="D100" s="2" t="s">
        <v>6</v>
      </c>
      <c r="E100" s="3">
        <f>SUM(E77:E98)</f>
        <v>3383333</v>
      </c>
      <c r="F100" s="411"/>
      <c r="G100" s="411"/>
      <c r="H100" s="411"/>
      <c r="I100" s="411"/>
      <c r="R100" s="167"/>
      <c r="S100" s="19" t="s">
        <v>5797</v>
      </c>
      <c r="T100" s="193">
        <f>T99-65</f>
        <v>403</v>
      </c>
      <c r="U100" s="187" t="s">
        <v>5798</v>
      </c>
      <c r="V100" s="205">
        <v>1255.0999999999999</v>
      </c>
      <c r="W100" s="205">
        <f t="shared" si="27"/>
        <v>1662.1925446575342</v>
      </c>
      <c r="X100" s="32">
        <f t="shared" ref="X100:X106" si="33">W100*(1+$X$19/100)</f>
        <v>1695.4363955506849</v>
      </c>
      <c r="Y100" s="32">
        <f t="shared" ref="Y100:Y106" si="34">W100*(1+$Y$19/100)</f>
        <v>1728.6802464438356</v>
      </c>
      <c r="Z100" s="94"/>
      <c r="AA100" s="94">
        <v>26860</v>
      </c>
      <c r="AB100" s="94">
        <f>AA100*3</f>
        <v>80580</v>
      </c>
      <c r="AI100" s="97">
        <v>80</v>
      </c>
      <c r="AJ100" s="111" t="s">
        <v>4495</v>
      </c>
      <c r="AK100" s="111">
        <v>-1750148</v>
      </c>
      <c r="AL100" s="97">
        <v>1</v>
      </c>
      <c r="AM100" s="97">
        <f t="shared" si="32"/>
        <v>1127</v>
      </c>
      <c r="AN100" s="115">
        <f t="shared" si="10"/>
        <v>-1972416796</v>
      </c>
      <c r="AO100" s="97"/>
    </row>
    <row r="101" spans="4:48">
      <c r="D101" s="2" t="s">
        <v>328</v>
      </c>
      <c r="E101" s="3">
        <f>E100/30</f>
        <v>112777.76666666666</v>
      </c>
      <c r="F101" s="411"/>
      <c r="G101" s="411"/>
      <c r="H101" s="411"/>
      <c r="I101" s="411"/>
      <c r="R101" s="167"/>
      <c r="S101" s="19" t="s">
        <v>6840</v>
      </c>
      <c r="T101" s="193">
        <f>T115-1169</f>
        <v>134</v>
      </c>
      <c r="U101" s="187" t="s">
        <v>6843</v>
      </c>
      <c r="V101" s="205">
        <v>436.6</v>
      </c>
      <c r="W101" s="205">
        <f t="shared" si="27"/>
        <v>488.11640767123299</v>
      </c>
      <c r="X101" s="32">
        <f t="shared" si="33"/>
        <v>497.87873582465767</v>
      </c>
      <c r="Y101" s="32">
        <f t="shared" si="34"/>
        <v>507.64106397808234</v>
      </c>
      <c r="Z101" s="408"/>
      <c r="AA101" s="408"/>
      <c r="AB101" s="408">
        <v>2217</v>
      </c>
      <c r="AI101" s="97">
        <v>81</v>
      </c>
      <c r="AJ101" s="111" t="s">
        <v>4498</v>
      </c>
      <c r="AK101" s="111">
        <v>400000</v>
      </c>
      <c r="AL101" s="97">
        <v>0</v>
      </c>
      <c r="AM101" s="97">
        <f t="shared" si="32"/>
        <v>1126</v>
      </c>
      <c r="AN101" s="115">
        <f t="shared" si="10"/>
        <v>450400000</v>
      </c>
      <c r="AO101" s="97"/>
    </row>
    <row r="102" spans="4:48">
      <c r="F102" s="94"/>
      <c r="G102" s="94"/>
      <c r="H102" s="94"/>
      <c r="I102" s="94"/>
      <c r="R102" s="167"/>
      <c r="S102" s="19" t="s">
        <v>6840</v>
      </c>
      <c r="T102" s="193">
        <f>T115-1169</f>
        <v>134</v>
      </c>
      <c r="U102" s="187" t="s">
        <v>6844</v>
      </c>
      <c r="V102" s="205">
        <v>1396</v>
      </c>
      <c r="W102" s="205">
        <f t="shared" si="27"/>
        <v>1560.7203506849316</v>
      </c>
      <c r="X102" s="32">
        <f t="shared" si="33"/>
        <v>1591.9347576986304</v>
      </c>
      <c r="Y102" s="32">
        <f t="shared" si="34"/>
        <v>1623.1491647123289</v>
      </c>
      <c r="Z102" s="408">
        <v>4518</v>
      </c>
      <c r="AA102" s="408"/>
      <c r="AB102" s="408"/>
      <c r="AI102" s="97">
        <v>82</v>
      </c>
      <c r="AJ102" s="111" t="s">
        <v>4498</v>
      </c>
      <c r="AK102" s="111">
        <v>-2105421</v>
      </c>
      <c r="AL102" s="97">
        <v>1</v>
      </c>
      <c r="AM102" s="97">
        <f t="shared" si="32"/>
        <v>1126</v>
      </c>
      <c r="AN102" s="115">
        <f t="shared" si="10"/>
        <v>-2370704046</v>
      </c>
      <c r="AO102" s="97"/>
      <c r="AP102" t="s">
        <v>25</v>
      </c>
    </row>
    <row r="103" spans="4:48">
      <c r="F103" s="94"/>
      <c r="G103" s="94"/>
      <c r="H103" s="94"/>
      <c r="I103" s="94"/>
      <c r="R103" s="167"/>
      <c r="S103" s="19"/>
      <c r="T103" s="193"/>
      <c r="U103" s="187"/>
      <c r="V103" s="205"/>
      <c r="W103" s="205"/>
      <c r="X103" s="32"/>
      <c r="Y103" s="32"/>
      <c r="Z103" s="408"/>
      <c r="AA103" s="408"/>
      <c r="AB103" s="408"/>
      <c r="AI103" s="97">
        <v>83</v>
      </c>
      <c r="AJ103" s="111" t="s">
        <v>4501</v>
      </c>
      <c r="AK103" s="111">
        <v>-5527618</v>
      </c>
      <c r="AL103" s="97">
        <v>0</v>
      </c>
      <c r="AM103" s="97">
        <f t="shared" si="32"/>
        <v>1125</v>
      </c>
      <c r="AN103" s="115">
        <f t="shared" si="10"/>
        <v>-6218570250</v>
      </c>
      <c r="AO103" s="97"/>
    </row>
    <row r="104" spans="4:48">
      <c r="F104" s="94"/>
      <c r="G104" s="94"/>
      <c r="H104" s="94"/>
      <c r="I104" s="94"/>
      <c r="R104" s="167"/>
      <c r="S104" s="19"/>
      <c r="T104" s="193"/>
      <c r="U104" s="187"/>
      <c r="V104" s="205"/>
      <c r="W104" s="205">
        <f>V104*(1+$S$111+$R$15*T104/36500)</f>
        <v>0</v>
      </c>
      <c r="X104" s="32">
        <f t="shared" si="33"/>
        <v>0</v>
      </c>
      <c r="Y104" s="32">
        <f t="shared" si="34"/>
        <v>0</v>
      </c>
      <c r="Z104" s="94"/>
      <c r="AA104" s="94"/>
      <c r="AB104" s="94"/>
      <c r="AI104" s="97">
        <v>84</v>
      </c>
      <c r="AJ104" s="111" t="s">
        <v>4501</v>
      </c>
      <c r="AK104" s="111">
        <v>3900000</v>
      </c>
      <c r="AL104" s="97">
        <v>3</v>
      </c>
      <c r="AM104" s="97">
        <f t="shared" si="32"/>
        <v>1125</v>
      </c>
      <c r="AN104" s="115">
        <f t="shared" si="10"/>
        <v>4387500000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33"/>
        <v>0</v>
      </c>
      <c r="Y105" s="32">
        <f t="shared" si="34"/>
        <v>0</v>
      </c>
      <c r="Z105" s="94"/>
      <c r="AA105" s="94"/>
      <c r="AB105" s="94"/>
      <c r="AC105" s="94"/>
      <c r="AI105" s="97">
        <v>85</v>
      </c>
      <c r="AJ105" s="111" t="s">
        <v>4502</v>
      </c>
      <c r="AK105" s="111">
        <v>-3969754</v>
      </c>
      <c r="AL105" s="97">
        <v>1</v>
      </c>
      <c r="AM105" s="97">
        <f t="shared" si="32"/>
        <v>1122</v>
      </c>
      <c r="AN105" s="115">
        <f t="shared" si="10"/>
        <v>-4454063988</v>
      </c>
      <c r="AO105" s="97"/>
    </row>
    <row r="106" spans="4:48">
      <c r="J106" t="s">
        <v>25</v>
      </c>
      <c r="R106" s="167"/>
      <c r="S106" s="166"/>
      <c r="T106" s="111"/>
      <c r="U106" s="111"/>
      <c r="V106" s="166" t="s">
        <v>25</v>
      </c>
      <c r="W106" s="205" t="e">
        <f>V106*(1+$S$111+$R$15*T106/36500)</f>
        <v>#VALUE!</v>
      </c>
      <c r="X106" s="32" t="e">
        <f t="shared" si="33"/>
        <v>#VALUE!</v>
      </c>
      <c r="Y106" s="32" t="e">
        <f t="shared" si="34"/>
        <v>#VALUE!</v>
      </c>
      <c r="AA106" t="s">
        <v>25</v>
      </c>
      <c r="AC106" s="94"/>
      <c r="AI106" s="97">
        <v>86</v>
      </c>
      <c r="AJ106" s="111" t="s">
        <v>4512</v>
      </c>
      <c r="AK106" s="111">
        <v>-25574455</v>
      </c>
      <c r="AL106" s="97">
        <v>0</v>
      </c>
      <c r="AM106" s="97">
        <f t="shared" si="32"/>
        <v>1121</v>
      </c>
      <c r="AN106" s="115">
        <f t="shared" si="10"/>
        <v>-28668964055</v>
      </c>
      <c r="AO106" s="97"/>
      <c r="AQ106" t="s">
        <v>25</v>
      </c>
    </row>
    <row r="107" spans="4:48">
      <c r="G107" s="94" t="s">
        <v>25</v>
      </c>
      <c r="H107" s="94"/>
      <c r="I107" s="94"/>
      <c r="J107" s="94"/>
      <c r="R107" s="111">
        <f>SUM(N41:N41)-SUM(R84:R106)</f>
        <v>12708113.7462979</v>
      </c>
      <c r="S107" s="166"/>
      <c r="T107" s="166"/>
      <c r="U107" s="166"/>
      <c r="V107" s="166"/>
      <c r="W107" s="166"/>
      <c r="X107" s="32"/>
      <c r="Y107" s="32"/>
      <c r="AA107" t="s">
        <v>25</v>
      </c>
      <c r="AB107" t="s">
        <v>25</v>
      </c>
      <c r="AI107" s="97">
        <v>87</v>
      </c>
      <c r="AJ107" s="111" t="s">
        <v>4512</v>
      </c>
      <c r="AK107" s="111">
        <v>4000000</v>
      </c>
      <c r="AL107" s="97">
        <v>1</v>
      </c>
      <c r="AM107" s="97">
        <f t="shared" si="32"/>
        <v>1121</v>
      </c>
      <c r="AN107" s="115">
        <f t="shared" si="10"/>
        <v>4484000000</v>
      </c>
      <c r="AO107" s="97"/>
    </row>
    <row r="108" spans="4:48">
      <c r="F108" s="413"/>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32"/>
        <v>1120</v>
      </c>
      <c r="AN108" s="115">
        <f t="shared" si="10"/>
        <v>-5600000000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32"/>
        <v>1118</v>
      </c>
      <c r="AN109" s="115">
        <f t="shared" si="10"/>
        <v>11180000000</v>
      </c>
      <c r="AO109" s="97"/>
    </row>
    <row r="110" spans="4:48">
      <c r="F110" s="413"/>
      <c r="G110" s="94"/>
      <c r="H110" s="94"/>
      <c r="I110" s="94"/>
      <c r="J110" s="94"/>
      <c r="K110" s="5" t="s">
        <v>4475</v>
      </c>
      <c r="L110" s="167">
        <v>1100000</v>
      </c>
      <c r="M110" s="167">
        <v>4748000</v>
      </c>
      <c r="N110" s="166">
        <f t="shared" si="35"/>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32"/>
        <v>1114</v>
      </c>
      <c r="AN110" s="115">
        <f t="shared" si="10"/>
        <v>-5839517818</v>
      </c>
      <c r="AO110" s="97"/>
    </row>
    <row r="111" spans="4:48">
      <c r="F111" s="413"/>
      <c r="G111" s="94"/>
      <c r="H111" s="94"/>
      <c r="I111" s="94"/>
      <c r="J111" s="94"/>
      <c r="K111" s="5" t="s">
        <v>4476</v>
      </c>
      <c r="L111" s="167">
        <v>1100000</v>
      </c>
      <c r="M111" s="167">
        <v>5137000</v>
      </c>
      <c r="N111" s="166">
        <f t="shared" si="35"/>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32"/>
        <v>1114</v>
      </c>
      <c r="AN111" s="115">
        <f t="shared" si="10"/>
        <v>24396600000</v>
      </c>
      <c r="AO111" s="97"/>
      <c r="AQ111" t="s">
        <v>25</v>
      </c>
      <c r="AV111"/>
    </row>
    <row r="112" spans="4:48">
      <c r="F112" s="413"/>
      <c r="G112" s="94"/>
      <c r="H112" s="94"/>
      <c r="I112" s="94"/>
      <c r="J112" s="94"/>
      <c r="K112" s="19" t="s">
        <v>4354</v>
      </c>
      <c r="L112" s="167">
        <v>1100000</v>
      </c>
      <c r="M112" s="167">
        <v>4300000</v>
      </c>
      <c r="N112" s="166">
        <f t="shared" si="35"/>
        <v>290.90909090909093</v>
      </c>
      <c r="P112" s="94"/>
      <c r="X112" s="190"/>
      <c r="Y112" s="190"/>
      <c r="AB112" t="s">
        <v>25</v>
      </c>
      <c r="AI112" s="97">
        <v>92</v>
      </c>
      <c r="AJ112" s="111" t="s">
        <v>4525</v>
      </c>
      <c r="AK112" s="111">
        <v>-15000000</v>
      </c>
      <c r="AL112" s="97">
        <v>0</v>
      </c>
      <c r="AM112" s="97">
        <f t="shared" si="32"/>
        <v>1112</v>
      </c>
      <c r="AN112" s="115">
        <f t="shared" si="10"/>
        <v>-16680000000</v>
      </c>
      <c r="AO112" s="97"/>
      <c r="AP112" t="s">
        <v>25</v>
      </c>
    </row>
    <row r="113" spans="6:47" ht="30">
      <c r="F113" s="413"/>
      <c r="G113" s="94"/>
      <c r="H113" s="94"/>
      <c r="I113" s="94"/>
      <c r="J113" s="94"/>
      <c r="K113" s="5" t="s">
        <v>4371</v>
      </c>
      <c r="L113" s="167">
        <v>1100000</v>
      </c>
      <c r="M113" s="167">
        <v>3191000</v>
      </c>
      <c r="N113" s="166">
        <f t="shared" si="35"/>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32"/>
        <v>1112</v>
      </c>
      <c r="AN113" s="115">
        <f t="shared" si="10"/>
        <v>3336000000</v>
      </c>
      <c r="AO113" s="97"/>
    </row>
    <row r="114" spans="6:47">
      <c r="F114" s="413"/>
      <c r="G114" s="94"/>
      <c r="H114" s="94"/>
      <c r="I114" s="94"/>
      <c r="J114" s="94"/>
      <c r="K114" s="5" t="s">
        <v>4477</v>
      </c>
      <c r="L114" s="167">
        <v>1100000</v>
      </c>
      <c r="M114" s="167">
        <v>5623000</v>
      </c>
      <c r="N114" s="166">
        <f t="shared" si="35"/>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32"/>
        <v>1111</v>
      </c>
      <c r="AN114" s="115">
        <f t="shared" si="10"/>
        <v>-2337250696</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35">
        <v>38474780.062005915</v>
      </c>
      <c r="S115" s="5" t="s">
        <v>4149</v>
      </c>
      <c r="T115" s="5">
        <v>1303</v>
      </c>
      <c r="U115" s="5" t="s">
        <v>5556</v>
      </c>
      <c r="V115" s="166">
        <v>192</v>
      </c>
      <c r="W115" s="97">
        <f t="shared" ref="W115:W142" si="36">V115*(1+$S$111+$R$15*T115/36500)</f>
        <v>386.83423561643838</v>
      </c>
      <c r="X115" s="32">
        <f t="shared" ref="X115:X129" si="37">W115*(1+$X$19/100)</f>
        <v>394.57092032876716</v>
      </c>
      <c r="Y115" s="32">
        <f t="shared" ref="Y115:Y129" si="38">W115*(1+$Y$19/100)</f>
        <v>402.30760504109594</v>
      </c>
      <c r="Z115" s="94">
        <v>200000</v>
      </c>
      <c r="AI115" s="97">
        <v>95</v>
      </c>
      <c r="AJ115" s="111" t="s">
        <v>4528</v>
      </c>
      <c r="AK115" s="111">
        <v>220000</v>
      </c>
      <c r="AL115" s="97">
        <v>3</v>
      </c>
      <c r="AM115" s="97">
        <f t="shared" si="32"/>
        <v>1111</v>
      </c>
      <c r="AN115" s="115">
        <f t="shared" si="10"/>
        <v>244420000</v>
      </c>
      <c r="AO115" s="97"/>
      <c r="AS115" s="94"/>
      <c r="AT115" s="94"/>
      <c r="AU115"/>
    </row>
    <row r="116" spans="6:47">
      <c r="F116" s="413"/>
      <c r="G116" s="94"/>
      <c r="H116" s="94"/>
      <c r="I116" s="94"/>
      <c r="J116" s="94"/>
      <c r="K116" s="5" t="s">
        <v>4479</v>
      </c>
      <c r="L116" s="167">
        <v>1100000</v>
      </c>
      <c r="M116" s="167">
        <v>2904000</v>
      </c>
      <c r="N116" s="166">
        <f t="shared" si="35"/>
        <v>164</v>
      </c>
      <c r="R116" s="167">
        <v>433201621</v>
      </c>
      <c r="S116" s="205" t="s">
        <v>5560</v>
      </c>
      <c r="T116" s="205">
        <f>T115-695</f>
        <v>608</v>
      </c>
      <c r="U116" s="205" t="s">
        <v>5567</v>
      </c>
      <c r="V116" s="205">
        <v>1995.5</v>
      </c>
      <c r="W116" s="97">
        <f t="shared" si="36"/>
        <v>2956.554668493151</v>
      </c>
      <c r="X116" s="32">
        <f t="shared" si="37"/>
        <v>3015.6857618630142</v>
      </c>
      <c r="Y116" s="32">
        <f t="shared" si="38"/>
        <v>3074.8168552328771</v>
      </c>
      <c r="Z116">
        <v>216287</v>
      </c>
      <c r="AA116" t="s">
        <v>25</v>
      </c>
      <c r="AI116" s="97">
        <v>96</v>
      </c>
      <c r="AJ116" s="111" t="s">
        <v>4537</v>
      </c>
      <c r="AK116" s="111">
        <v>4000000</v>
      </c>
      <c r="AL116" s="97">
        <v>1</v>
      </c>
      <c r="AM116" s="97">
        <f t="shared" si="32"/>
        <v>1108</v>
      </c>
      <c r="AN116" s="115">
        <f t="shared" si="10"/>
        <v>4432000000</v>
      </c>
      <c r="AO116" s="97"/>
    </row>
    <row r="117" spans="6:47">
      <c r="F117" s="413"/>
      <c r="G117" s="94"/>
      <c r="H117" s="94"/>
      <c r="I117" s="94"/>
      <c r="J117" s="94"/>
      <c r="K117" s="54" t="s">
        <v>1068</v>
      </c>
      <c r="L117" s="167">
        <v>1100000</v>
      </c>
      <c r="M117" s="167">
        <v>3400000</v>
      </c>
      <c r="N117" s="166">
        <f t="shared" si="35"/>
        <v>209.09090909090909</v>
      </c>
      <c r="P117" s="112"/>
      <c r="R117" s="167">
        <v>8201348.2384272004</v>
      </c>
      <c r="S117" s="205" t="s">
        <v>5563</v>
      </c>
      <c r="T117" s="205">
        <f>T116-5</f>
        <v>603</v>
      </c>
      <c r="U117" s="205" t="s">
        <v>5616</v>
      </c>
      <c r="V117" s="205">
        <v>1751</v>
      </c>
      <c r="W117" s="97">
        <f t="shared" si="36"/>
        <v>2587.5846246575347</v>
      </c>
      <c r="X117" s="32">
        <f t="shared" si="37"/>
        <v>2639.3363171506853</v>
      </c>
      <c r="Y117" s="32">
        <f t="shared" si="38"/>
        <v>2691.0880096438364</v>
      </c>
      <c r="Z117">
        <v>4667</v>
      </c>
      <c r="AI117" s="97">
        <v>97</v>
      </c>
      <c r="AJ117" s="111" t="s">
        <v>4541</v>
      </c>
      <c r="AK117" s="111">
        <v>-9000000</v>
      </c>
      <c r="AL117" s="97">
        <v>0</v>
      </c>
      <c r="AM117" s="97">
        <f t="shared" si="32"/>
        <v>1107</v>
      </c>
      <c r="AN117" s="115">
        <f t="shared" si="10"/>
        <v>-9963000000</v>
      </c>
      <c r="AO117" s="97"/>
      <c r="AQ117" t="s">
        <v>25</v>
      </c>
    </row>
    <row r="118" spans="6:47">
      <c r="F118" s="413"/>
      <c r="K118" s="223" t="s">
        <v>5344</v>
      </c>
      <c r="P118" t="s">
        <v>25</v>
      </c>
      <c r="R118" s="167">
        <v>106896832</v>
      </c>
      <c r="S118" s="205" t="s">
        <v>5618</v>
      </c>
      <c r="T118" s="205">
        <f>T117-36</f>
        <v>567</v>
      </c>
      <c r="U118" s="205" t="s">
        <v>5619</v>
      </c>
      <c r="V118" s="205">
        <v>1715</v>
      </c>
      <c r="W118" s="97">
        <f t="shared" si="36"/>
        <v>2487.0225205479451</v>
      </c>
      <c r="X118" s="32">
        <f t="shared" si="37"/>
        <v>2536.7629709589041</v>
      </c>
      <c r="Y118" s="32">
        <f t="shared" si="38"/>
        <v>2586.5034213698632</v>
      </c>
      <c r="Z118" s="94">
        <v>62100</v>
      </c>
      <c r="AA118" t="s">
        <v>25</v>
      </c>
      <c r="AI118" s="97">
        <v>98</v>
      </c>
      <c r="AJ118" s="111" t="s">
        <v>4541</v>
      </c>
      <c r="AK118" s="111">
        <v>13900000</v>
      </c>
      <c r="AL118" s="97">
        <v>2</v>
      </c>
      <c r="AM118" s="97">
        <f t="shared" si="32"/>
        <v>1107</v>
      </c>
      <c r="AN118" s="115">
        <f t="shared" si="10"/>
        <v>15387300000</v>
      </c>
      <c r="AO118" s="97"/>
    </row>
    <row r="119" spans="6:47">
      <c r="F119" s="413"/>
      <c r="K119" s="223" t="s">
        <v>4508</v>
      </c>
      <c r="R119" s="167">
        <v>455942528</v>
      </c>
      <c r="S119" s="205" t="s">
        <v>5620</v>
      </c>
      <c r="T119" s="205">
        <f>T118-1</f>
        <v>566</v>
      </c>
      <c r="U119" s="205" t="s">
        <v>5621</v>
      </c>
      <c r="V119" s="205">
        <v>1631</v>
      </c>
      <c r="W119" s="97">
        <f t="shared" si="36"/>
        <v>2363.9579945205483</v>
      </c>
      <c r="X119" s="32">
        <f t="shared" si="37"/>
        <v>2411.2371544109592</v>
      </c>
      <c r="Y119" s="32">
        <f t="shared" si="38"/>
        <v>2458.5163143013701</v>
      </c>
      <c r="Z119">
        <v>278514</v>
      </c>
      <c r="AB119" t="s">
        <v>25</v>
      </c>
      <c r="AI119" s="97">
        <v>99</v>
      </c>
      <c r="AJ119" s="111" t="s">
        <v>4545</v>
      </c>
      <c r="AK119" s="111">
        <v>-8127577</v>
      </c>
      <c r="AL119" s="97">
        <v>1</v>
      </c>
      <c r="AM119" s="97">
        <f t="shared" si="32"/>
        <v>1105</v>
      </c>
      <c r="AN119" s="115">
        <f t="shared" si="10"/>
        <v>-8980972585</v>
      </c>
      <c r="AO119" s="97"/>
      <c r="AP119" t="s">
        <v>25</v>
      </c>
      <c r="AR119" t="s">
        <v>25</v>
      </c>
    </row>
    <row r="120" spans="6:47">
      <c r="K120" s="223" t="s">
        <v>4509</v>
      </c>
      <c r="R120" s="167">
        <v>834999909.33089697</v>
      </c>
      <c r="S120" s="205" t="s">
        <v>5623</v>
      </c>
      <c r="T120" s="205">
        <f>T119-1</f>
        <v>565</v>
      </c>
      <c r="U120" s="205" t="s">
        <v>5642</v>
      </c>
      <c r="V120" s="205">
        <v>1567.4</v>
      </c>
      <c r="W120" s="97">
        <f t="shared" si="36"/>
        <v>2270.5742882191785</v>
      </c>
      <c r="X120" s="32">
        <f t="shared" si="37"/>
        <v>2315.985773983562</v>
      </c>
      <c r="Y120" s="32">
        <f t="shared" si="38"/>
        <v>2361.3972597479456</v>
      </c>
      <c r="Z120">
        <v>530747</v>
      </c>
      <c r="AI120" s="97">
        <v>100</v>
      </c>
      <c r="AJ120" s="111" t="s">
        <v>3673</v>
      </c>
      <c r="AK120" s="111">
        <v>15792549</v>
      </c>
      <c r="AL120" s="97">
        <v>3</v>
      </c>
      <c r="AM120" s="97">
        <f t="shared" si="32"/>
        <v>1104</v>
      </c>
      <c r="AN120" s="115">
        <f t="shared" si="10"/>
        <v>17434974096</v>
      </c>
      <c r="AO120" s="97"/>
      <c r="AP120" t="s">
        <v>25</v>
      </c>
      <c r="AQ120" t="s">
        <v>25</v>
      </c>
    </row>
    <row r="121" spans="6:47">
      <c r="P121" s="112"/>
      <c r="R121" s="167"/>
      <c r="S121" s="205" t="s">
        <v>5643</v>
      </c>
      <c r="T121" s="205">
        <f>T120-13</f>
        <v>552</v>
      </c>
      <c r="U121" s="205" t="s">
        <v>5644</v>
      </c>
      <c r="V121" s="205"/>
      <c r="W121" s="97">
        <f t="shared" si="36"/>
        <v>0</v>
      </c>
      <c r="X121" s="32">
        <f t="shared" si="37"/>
        <v>0</v>
      </c>
      <c r="Y121" s="32">
        <f t="shared" si="38"/>
        <v>0</v>
      </c>
      <c r="Z121" s="94">
        <v>83532</v>
      </c>
      <c r="AA121" s="94"/>
      <c r="AB121" s="94"/>
      <c r="AI121" s="97">
        <v>101</v>
      </c>
      <c r="AJ121" s="111" t="s">
        <v>4549</v>
      </c>
      <c r="AK121" s="111">
        <v>8800000</v>
      </c>
      <c r="AL121" s="97">
        <v>0</v>
      </c>
      <c r="AM121" s="97">
        <f t="shared" ref="AM121:AM126" si="39">AM122+AL121</f>
        <v>1101</v>
      </c>
      <c r="AN121" s="115">
        <f t="shared" ref="AN121:AN144" si="40">AK121*AM121</f>
        <v>9688800000</v>
      </c>
      <c r="AO121" s="97"/>
      <c r="AQ121" t="s">
        <v>25</v>
      </c>
    </row>
    <row r="122" spans="6:47" ht="17.25" customHeight="1">
      <c r="R122" s="167" t="s">
        <v>25</v>
      </c>
      <c r="S122" s="205" t="s">
        <v>5645</v>
      </c>
      <c r="T122" s="205">
        <f>T121-1</f>
        <v>551</v>
      </c>
      <c r="U122" s="205" t="s">
        <v>5646</v>
      </c>
      <c r="V122" s="205"/>
      <c r="W122" s="97">
        <f t="shared" si="36"/>
        <v>0</v>
      </c>
      <c r="X122" s="32">
        <f t="shared" si="37"/>
        <v>0</v>
      </c>
      <c r="Y122" s="32">
        <f t="shared" si="38"/>
        <v>0</v>
      </c>
      <c r="Z122" s="94">
        <v>807014</v>
      </c>
      <c r="AA122" s="94"/>
      <c r="AB122" s="94"/>
      <c r="AI122" s="119">
        <v>102</v>
      </c>
      <c r="AJ122" s="77" t="s">
        <v>4549</v>
      </c>
      <c r="AK122" s="77">
        <v>13071612</v>
      </c>
      <c r="AL122" s="119">
        <v>1</v>
      </c>
      <c r="AM122" s="119">
        <f t="shared" si="39"/>
        <v>1101</v>
      </c>
      <c r="AN122" s="77">
        <f t="shared" si="40"/>
        <v>14391844812</v>
      </c>
      <c r="AO122" s="200" t="s">
        <v>4550</v>
      </c>
    </row>
    <row r="123" spans="6:47">
      <c r="R123" s="167"/>
      <c r="S123" s="205" t="s">
        <v>5647</v>
      </c>
      <c r="T123" s="205">
        <f>T122-1</f>
        <v>550</v>
      </c>
      <c r="U123" s="205" t="s">
        <v>5695</v>
      </c>
      <c r="V123" s="205"/>
      <c r="W123" s="97">
        <f t="shared" si="36"/>
        <v>0</v>
      </c>
      <c r="X123" s="32">
        <f t="shared" si="37"/>
        <v>0</v>
      </c>
      <c r="Y123" s="32">
        <f t="shared" si="38"/>
        <v>0</v>
      </c>
      <c r="Z123" s="94">
        <v>399790</v>
      </c>
      <c r="AA123" s="94"/>
      <c r="AB123" s="94"/>
      <c r="AI123" s="87">
        <v>103</v>
      </c>
      <c r="AJ123" s="88" t="s">
        <v>4553</v>
      </c>
      <c r="AK123" s="88">
        <v>16727037</v>
      </c>
      <c r="AL123" s="87">
        <v>0</v>
      </c>
      <c r="AM123" s="87">
        <f t="shared" si="39"/>
        <v>1100</v>
      </c>
      <c r="AN123" s="88">
        <f t="shared" si="40"/>
        <v>18399740700</v>
      </c>
      <c r="AO123" s="87" t="s">
        <v>4560</v>
      </c>
    </row>
    <row r="124" spans="6:47">
      <c r="F124" s="94"/>
      <c r="G124" s="32" t="s">
        <v>4216</v>
      </c>
      <c r="H124" s="32"/>
      <c r="I124" s="32" t="s">
        <v>4358</v>
      </c>
      <c r="K124" s="94"/>
      <c r="L124" s="94"/>
      <c r="M124" s="94"/>
      <c r="R124" s="167"/>
      <c r="S124" s="205" t="s">
        <v>5700</v>
      </c>
      <c r="T124" s="205">
        <f>T123-53</f>
        <v>497</v>
      </c>
      <c r="U124" s="205" t="s">
        <v>6730</v>
      </c>
      <c r="V124" s="205">
        <v>1500</v>
      </c>
      <c r="W124" s="97">
        <f t="shared" si="36"/>
        <v>2094.6904109589041</v>
      </c>
      <c r="X124" s="32">
        <f t="shared" si="37"/>
        <v>2136.5842191780821</v>
      </c>
      <c r="Y124" s="32">
        <f t="shared" si="38"/>
        <v>2178.4780273972601</v>
      </c>
      <c r="Z124" s="94">
        <v>27349</v>
      </c>
      <c r="AA124" s="94"/>
      <c r="AB124" s="94"/>
      <c r="AI124" s="97">
        <v>104</v>
      </c>
      <c r="AJ124" s="111" t="s">
        <v>4553</v>
      </c>
      <c r="AK124" s="111">
        <v>12000000</v>
      </c>
      <c r="AL124" s="97">
        <v>1</v>
      </c>
      <c r="AM124" s="97">
        <f t="shared" si="39"/>
        <v>1100</v>
      </c>
      <c r="AN124" s="115">
        <f t="shared" si="40"/>
        <v>13200000000</v>
      </c>
      <c r="AO124" s="97" t="s">
        <v>4561</v>
      </c>
    </row>
    <row r="125" spans="6:47">
      <c r="F125" s="94"/>
      <c r="G125" s="32">
        <f>O33+O40+O51</f>
        <v>6286563</v>
      </c>
      <c r="H125" s="32" t="s">
        <v>5430</v>
      </c>
      <c r="I125" s="32">
        <f>O55</f>
        <v>0</v>
      </c>
      <c r="J125" s="112"/>
      <c r="K125" s="94"/>
      <c r="L125" s="94"/>
      <c r="M125" s="94"/>
      <c r="R125" s="167"/>
      <c r="S125" s="205" t="s">
        <v>5753</v>
      </c>
      <c r="T125" s="205">
        <f>T124-71</f>
        <v>426</v>
      </c>
      <c r="U125" s="205" t="s">
        <v>5757</v>
      </c>
      <c r="V125" s="205">
        <v>1354.1</v>
      </c>
      <c r="W125" s="97">
        <f t="shared" si="36"/>
        <v>1817.1947802739726</v>
      </c>
      <c r="X125" s="32">
        <f t="shared" si="37"/>
        <v>1853.5386758794521</v>
      </c>
      <c r="Y125" s="32">
        <f t="shared" si="38"/>
        <v>1889.8825714849315</v>
      </c>
      <c r="Z125" s="94"/>
      <c r="AA125" s="94">
        <v>22000</v>
      </c>
      <c r="AB125" s="94">
        <f>AA125*3</f>
        <v>66000</v>
      </c>
      <c r="AC125" s="94"/>
      <c r="AI125" s="87">
        <v>105</v>
      </c>
      <c r="AJ125" s="88" t="s">
        <v>4491</v>
      </c>
      <c r="AK125" s="88">
        <v>88697667</v>
      </c>
      <c r="AL125" s="87">
        <v>1</v>
      </c>
      <c r="AM125" s="87">
        <f t="shared" si="39"/>
        <v>1099</v>
      </c>
      <c r="AN125" s="88">
        <f t="shared" si="40"/>
        <v>97478736033</v>
      </c>
      <c r="AO125" s="87" t="s">
        <v>4562</v>
      </c>
      <c r="AQ125" t="s">
        <v>25</v>
      </c>
    </row>
    <row r="126" spans="6:47">
      <c r="F126" s="94"/>
      <c r="G126" s="32">
        <f>(N34+N36+N41+N54+N55+N35+N56+N52)/P51</f>
        <v>2049503.0557491288</v>
      </c>
      <c r="H126" s="274" t="s">
        <v>5431</v>
      </c>
      <c r="I126" s="32">
        <f>(N51+N54+N40+N36+N33+N34+N35+N41+N56+N52)/P55</f>
        <v>615184.09822576493</v>
      </c>
      <c r="J126" s="112"/>
      <c r="K126" s="94"/>
      <c r="L126" s="94" t="s">
        <v>25</v>
      </c>
      <c r="M126" s="94"/>
      <c r="R126" s="167"/>
      <c r="S126" s="205" t="s">
        <v>5758</v>
      </c>
      <c r="T126" s="205">
        <f>T125-8</f>
        <v>418</v>
      </c>
      <c r="U126" s="205" t="s">
        <v>5774</v>
      </c>
      <c r="V126" s="205">
        <v>1266</v>
      </c>
      <c r="W126" s="97">
        <f t="shared" si="36"/>
        <v>1691.1956383561646</v>
      </c>
      <c r="X126" s="32">
        <f t="shared" si="37"/>
        <v>1725.019551123288</v>
      </c>
      <c r="Y126" s="32">
        <f t="shared" si="38"/>
        <v>1758.8434638904114</v>
      </c>
      <c r="Z126" s="94"/>
      <c r="AA126" s="94">
        <v>62174</v>
      </c>
      <c r="AB126" s="407">
        <f t="shared" ref="AB126:AB130" si="41">AA126*3</f>
        <v>186522</v>
      </c>
      <c r="AC126" s="94" t="s">
        <v>25</v>
      </c>
      <c r="AI126" s="97">
        <v>106</v>
      </c>
      <c r="AJ126" s="111" t="s">
        <v>4494</v>
      </c>
      <c r="AK126" s="111">
        <v>101000</v>
      </c>
      <c r="AL126" s="97">
        <v>0</v>
      </c>
      <c r="AM126" s="97">
        <f t="shared" si="39"/>
        <v>1098</v>
      </c>
      <c r="AN126" s="115">
        <f t="shared" si="40"/>
        <v>110898000</v>
      </c>
      <c r="AO126" s="97"/>
      <c r="AR126" t="s">
        <v>25</v>
      </c>
    </row>
    <row r="127" spans="6:47">
      <c r="F127" s="94"/>
      <c r="G127" s="32">
        <f>G125+G126</f>
        <v>8336066.0557491286</v>
      </c>
      <c r="H127" s="32" t="s">
        <v>5432</v>
      </c>
      <c r="I127" s="32">
        <f>I125+I126</f>
        <v>615184.09822576493</v>
      </c>
      <c r="J127" s="112"/>
      <c r="K127" s="94"/>
      <c r="L127" s="94"/>
      <c r="N127" s="94"/>
      <c r="R127" s="167"/>
      <c r="S127" s="205" t="s">
        <v>5775</v>
      </c>
      <c r="T127" s="205">
        <f>T126-13</f>
        <v>405</v>
      </c>
      <c r="U127" s="205" t="s">
        <v>6248</v>
      </c>
      <c r="V127" s="205">
        <v>1275</v>
      </c>
      <c r="W127" s="97">
        <f t="shared" si="36"/>
        <v>1690.503287671233</v>
      </c>
      <c r="X127" s="32">
        <f t="shared" si="37"/>
        <v>1724.3133534246576</v>
      </c>
      <c r="Y127" s="32">
        <f t="shared" si="38"/>
        <v>1758.1234191780825</v>
      </c>
      <c r="Z127" s="94"/>
      <c r="AA127" s="94">
        <v>6826</v>
      </c>
      <c r="AB127" s="407">
        <f t="shared" si="41"/>
        <v>20478</v>
      </c>
      <c r="AC127" s="94"/>
      <c r="AD127" t="s">
        <v>25</v>
      </c>
      <c r="AI127" s="147">
        <v>107</v>
      </c>
      <c r="AJ127" s="186" t="s">
        <v>4559</v>
      </c>
      <c r="AK127" s="186">
        <v>-48200</v>
      </c>
      <c r="AL127" s="147">
        <v>0</v>
      </c>
      <c r="AM127" s="147">
        <f t="shared" ref="AM127:AM177" si="42">AM128+AL127</f>
        <v>1098</v>
      </c>
      <c r="AN127" s="186">
        <f t="shared" si="40"/>
        <v>-52923600</v>
      </c>
      <c r="AO127" s="147" t="s">
        <v>4565</v>
      </c>
    </row>
    <row r="128" spans="6:47">
      <c r="F128" s="94"/>
      <c r="G128" s="32">
        <f>(X157+X158)/P51</f>
        <v>367317.48145227291</v>
      </c>
      <c r="H128" s="32" t="s">
        <v>5412</v>
      </c>
      <c r="I128" s="32">
        <f>(X157+X158)/P55</f>
        <v>27107.255638159506</v>
      </c>
      <c r="J128" s="112"/>
      <c r="K128" s="94"/>
      <c r="L128" s="94"/>
      <c r="M128" s="94"/>
      <c r="N128" s="94"/>
      <c r="R128" s="167"/>
      <c r="S128" s="205" t="s">
        <v>6249</v>
      </c>
      <c r="T128" s="205">
        <f>T127-117</f>
        <v>288</v>
      </c>
      <c r="U128" s="205" t="s">
        <v>6250</v>
      </c>
      <c r="V128" s="205">
        <v>1310</v>
      </c>
      <c r="W128" s="97">
        <f t="shared" si="36"/>
        <v>1619.3322739726029</v>
      </c>
      <c r="X128" s="32">
        <f t="shared" si="37"/>
        <v>1651.7189194520549</v>
      </c>
      <c r="Y128" s="32">
        <f t="shared" si="38"/>
        <v>1684.1055649315072</v>
      </c>
      <c r="Z128" s="94"/>
      <c r="AA128" s="94">
        <v>22240</v>
      </c>
      <c r="AB128" s="407">
        <f t="shared" si="41"/>
        <v>66720</v>
      </c>
      <c r="AC128" t="s">
        <v>25</v>
      </c>
      <c r="AI128" s="87">
        <v>108</v>
      </c>
      <c r="AJ128" s="88" t="s">
        <v>4559</v>
      </c>
      <c r="AK128" s="88">
        <v>39327293</v>
      </c>
      <c r="AL128" s="87">
        <v>4</v>
      </c>
      <c r="AM128" s="147">
        <f t="shared" si="42"/>
        <v>1098</v>
      </c>
      <c r="AN128" s="186">
        <f t="shared" si="40"/>
        <v>43181367714</v>
      </c>
      <c r="AO128" s="87" t="s">
        <v>4566</v>
      </c>
    </row>
    <row r="129" spans="6:44">
      <c r="F129" s="94"/>
      <c r="G129" s="32">
        <f>X155/P51</f>
        <v>2930243.0986951408</v>
      </c>
      <c r="H129" s="32" t="s">
        <v>480</v>
      </c>
      <c r="I129" s="32">
        <f>X155/P55</f>
        <v>216245.76223335188</v>
      </c>
      <c r="J129" s="112"/>
      <c r="K129" s="94"/>
      <c r="L129" s="94"/>
      <c r="N129" s="94"/>
      <c r="R129" s="167"/>
      <c r="S129" s="205" t="s">
        <v>6258</v>
      </c>
      <c r="T129" s="205">
        <f>T128-4</f>
        <v>284</v>
      </c>
      <c r="U129" s="205" t="s">
        <v>6392</v>
      </c>
      <c r="V129" s="205">
        <v>1388</v>
      </c>
      <c r="W129" s="97">
        <f t="shared" si="36"/>
        <v>1711.4914630136989</v>
      </c>
      <c r="X129" s="32">
        <f t="shared" si="37"/>
        <v>1745.7212922739729</v>
      </c>
      <c r="Y129" s="32">
        <f t="shared" si="38"/>
        <v>1779.9511215342468</v>
      </c>
      <c r="Z129" s="94"/>
      <c r="AA129" s="94">
        <v>356260</v>
      </c>
      <c r="AB129" s="407">
        <f t="shared" si="41"/>
        <v>1068780</v>
      </c>
      <c r="AI129" s="87">
        <v>109</v>
      </c>
      <c r="AJ129" s="88" t="s">
        <v>4580</v>
      </c>
      <c r="AK129" s="88">
        <v>8749050</v>
      </c>
      <c r="AL129" s="87">
        <v>1</v>
      </c>
      <c r="AM129" s="87">
        <f t="shared" si="42"/>
        <v>1094</v>
      </c>
      <c r="AN129" s="88">
        <f t="shared" si="40"/>
        <v>9571460700</v>
      </c>
      <c r="AO129" s="87" t="s">
        <v>4581</v>
      </c>
    </row>
    <row r="130" spans="6:44">
      <c r="F130" s="94"/>
      <c r="G130" s="32">
        <f>G127-G128-G129</f>
        <v>5038505.4756017141</v>
      </c>
      <c r="H130" s="32" t="s">
        <v>5</v>
      </c>
      <c r="I130" s="32">
        <f>I127-I128-I129</f>
        <v>371831.08035425359</v>
      </c>
      <c r="J130" s="112"/>
      <c r="K130" s="94"/>
      <c r="L130" s="94"/>
      <c r="M130" t="s">
        <v>25</v>
      </c>
      <c r="N130" s="94"/>
      <c r="R130" s="167"/>
      <c r="S130" s="205" t="s">
        <v>6398</v>
      </c>
      <c r="T130" s="205">
        <f>T129-39</f>
        <v>245</v>
      </c>
      <c r="U130" s="205" t="s">
        <v>6699</v>
      </c>
      <c r="V130" s="205">
        <v>1702</v>
      </c>
      <c r="W130" s="97">
        <f t="shared" si="36"/>
        <v>2047.7531397260277</v>
      </c>
      <c r="X130" s="32">
        <f t="shared" ref="X130:X134" si="43">W130*(1+$X$19/100)</f>
        <v>2088.7082025205482</v>
      </c>
      <c r="Y130" s="32">
        <f t="shared" ref="Y130:Y134" si="44">W130*(1+$Y$19/100)</f>
        <v>2129.6632653150691</v>
      </c>
      <c r="Z130" s="326"/>
      <c r="AA130" s="326">
        <v>1001</v>
      </c>
      <c r="AB130" s="407">
        <f t="shared" si="41"/>
        <v>3003</v>
      </c>
      <c r="AI130" s="97">
        <v>110</v>
      </c>
      <c r="AJ130" s="111" t="s">
        <v>4582</v>
      </c>
      <c r="AK130" s="111">
        <v>60000</v>
      </c>
      <c r="AL130" s="97">
        <v>1</v>
      </c>
      <c r="AM130" s="97">
        <f t="shared" si="42"/>
        <v>1093</v>
      </c>
      <c r="AN130" s="115">
        <f t="shared" si="40"/>
        <v>65580000</v>
      </c>
      <c r="AO130" s="97" t="s">
        <v>4583</v>
      </c>
    </row>
    <row r="131" spans="6:44">
      <c r="N131" s="94"/>
      <c r="R131" s="167"/>
      <c r="S131" s="205" t="s">
        <v>6702</v>
      </c>
      <c r="T131" s="205">
        <f>T115-1086</f>
        <v>217</v>
      </c>
      <c r="U131" s="205" t="s">
        <v>6940</v>
      </c>
      <c r="V131" s="205">
        <v>518</v>
      </c>
      <c r="W131" s="97">
        <f t="shared" si="36"/>
        <v>612.10286027397262</v>
      </c>
      <c r="X131" s="32">
        <f t="shared" si="43"/>
        <v>624.34491747945208</v>
      </c>
      <c r="Y131" s="32">
        <f t="shared" si="44"/>
        <v>636.58697468493153</v>
      </c>
      <c r="Z131" s="357"/>
      <c r="AA131" s="357"/>
      <c r="AB131" s="407">
        <v>229715</v>
      </c>
      <c r="AI131" s="20">
        <v>111</v>
      </c>
      <c r="AJ131" s="115" t="s">
        <v>4591</v>
      </c>
      <c r="AK131" s="115">
        <v>4750000</v>
      </c>
      <c r="AL131" s="20">
        <v>0</v>
      </c>
      <c r="AM131" s="97">
        <f t="shared" si="42"/>
        <v>1092</v>
      </c>
      <c r="AN131" s="115">
        <f t="shared" si="40"/>
        <v>5187000000</v>
      </c>
      <c r="AO131" s="20"/>
      <c r="AR131" t="s">
        <v>25</v>
      </c>
    </row>
    <row r="132" spans="6:44">
      <c r="N132" s="94"/>
      <c r="R132" s="167"/>
      <c r="S132" s="205" t="s">
        <v>6733</v>
      </c>
      <c r="T132" s="205">
        <f>T115-1113</f>
        <v>190</v>
      </c>
      <c r="U132" s="205" t="s">
        <v>6734</v>
      </c>
      <c r="V132" s="205">
        <v>1580</v>
      </c>
      <c r="W132" s="97">
        <f t="shared" si="36"/>
        <v>1834.3064109589043</v>
      </c>
      <c r="X132" s="32">
        <f t="shared" si="43"/>
        <v>1870.9925391780823</v>
      </c>
      <c r="Y132" s="32">
        <f t="shared" si="44"/>
        <v>1907.6786673972606</v>
      </c>
      <c r="Z132" s="375">
        <v>45255</v>
      </c>
      <c r="AA132" s="375"/>
      <c r="AB132" s="407"/>
      <c r="AD132" t="s">
        <v>25</v>
      </c>
      <c r="AI132" s="87">
        <v>112</v>
      </c>
      <c r="AJ132" s="88" t="s">
        <v>4591</v>
      </c>
      <c r="AK132" s="88">
        <v>13101160</v>
      </c>
      <c r="AL132" s="87">
        <v>1</v>
      </c>
      <c r="AM132" s="87">
        <f t="shared" si="42"/>
        <v>1092</v>
      </c>
      <c r="AN132" s="88">
        <f t="shared" si="40"/>
        <v>14306466720</v>
      </c>
      <c r="AO132" s="87" t="s">
        <v>4594</v>
      </c>
    </row>
    <row r="133" spans="6:44">
      <c r="K133" s="94"/>
      <c r="L133" s="94"/>
      <c r="R133" s="167"/>
      <c r="S133" s="205" t="s">
        <v>6735</v>
      </c>
      <c r="T133" s="205">
        <f>T115-1114</f>
        <v>189</v>
      </c>
      <c r="U133" s="205" t="s">
        <v>6736</v>
      </c>
      <c r="V133" s="205">
        <v>1560</v>
      </c>
      <c r="W133" s="97">
        <f t="shared" si="36"/>
        <v>1809.8906301369866</v>
      </c>
      <c r="X133" s="32">
        <f t="shared" si="43"/>
        <v>1846.0884427397264</v>
      </c>
      <c r="Y133" s="32">
        <f t="shared" si="44"/>
        <v>1882.2862553424661</v>
      </c>
      <c r="Z133" s="375">
        <v>48918</v>
      </c>
      <c r="AA133" s="375"/>
      <c r="AB133" s="407"/>
      <c r="AI133" s="20">
        <v>113</v>
      </c>
      <c r="AJ133" s="115" t="s">
        <v>4593</v>
      </c>
      <c r="AK133" s="115">
        <v>-980000</v>
      </c>
      <c r="AL133" s="20">
        <v>0</v>
      </c>
      <c r="AM133" s="97">
        <f t="shared" si="42"/>
        <v>1091</v>
      </c>
      <c r="AN133" s="115">
        <f t="shared" si="40"/>
        <v>-1069180000</v>
      </c>
      <c r="AO133" s="20"/>
    </row>
    <row r="134" spans="6:44">
      <c r="P134" t="s">
        <v>25</v>
      </c>
      <c r="R134" s="167"/>
      <c r="S134" s="205" t="s">
        <v>6737</v>
      </c>
      <c r="T134" s="205">
        <f>T115-1117</f>
        <v>186</v>
      </c>
      <c r="U134" s="205" t="s">
        <v>6926</v>
      </c>
      <c r="V134" s="205">
        <v>1496</v>
      </c>
      <c r="W134" s="97">
        <f t="shared" si="36"/>
        <v>1732.1958575342467</v>
      </c>
      <c r="X134" s="32">
        <f t="shared" si="43"/>
        <v>1766.8397746849316</v>
      </c>
      <c r="Y134" s="32">
        <f t="shared" si="44"/>
        <v>1801.4836918356166</v>
      </c>
      <c r="Z134" s="376">
        <v>72827</v>
      </c>
      <c r="AA134" s="376"/>
      <c r="AB134" s="407"/>
      <c r="AC134" t="s">
        <v>25</v>
      </c>
      <c r="AI134" s="87">
        <v>114</v>
      </c>
      <c r="AJ134" s="88" t="s">
        <v>4593</v>
      </c>
      <c r="AK134" s="88">
        <v>13301790</v>
      </c>
      <c r="AL134" s="87">
        <v>0</v>
      </c>
      <c r="AM134" s="87">
        <f t="shared" si="42"/>
        <v>1091</v>
      </c>
      <c r="AN134" s="88">
        <f t="shared" si="40"/>
        <v>14512252890</v>
      </c>
      <c r="AO134" s="87" t="s">
        <v>4594</v>
      </c>
      <c r="AR134" t="s">
        <v>25</v>
      </c>
    </row>
    <row r="135" spans="6:44">
      <c r="G135" s="32" t="s">
        <v>180</v>
      </c>
      <c r="H135" s="32" t="s">
        <v>5433</v>
      </c>
      <c r="I135" s="205" t="s">
        <v>5434</v>
      </c>
      <c r="J135" s="205" t="s">
        <v>5435</v>
      </c>
      <c r="K135" s="32" t="s">
        <v>5436</v>
      </c>
      <c r="L135" s="97" t="s">
        <v>5450</v>
      </c>
      <c r="M135" s="97" t="s">
        <v>5451</v>
      </c>
      <c r="R135" s="167"/>
      <c r="S135" s="205" t="s">
        <v>6927</v>
      </c>
      <c r="T135" s="205">
        <f>T115-1283</f>
        <v>20</v>
      </c>
      <c r="U135" s="205" t="s">
        <v>6928</v>
      </c>
      <c r="V135" s="205">
        <v>1322</v>
      </c>
      <c r="W135" s="97">
        <f t="shared" si="36"/>
        <v>1362.3771397260275</v>
      </c>
      <c r="X135" s="32">
        <f t="shared" ref="X135:X146" si="45">W135*(1+$X$19/100)</f>
        <v>1389.624682520548</v>
      </c>
      <c r="Y135" s="32">
        <f t="shared" ref="Y135:Y146" si="46">W135*(1+$Y$19/100)</f>
        <v>1416.8722253150686</v>
      </c>
      <c r="Z135" s="447">
        <v>360471</v>
      </c>
      <c r="AA135" s="447"/>
      <c r="AB135" s="447"/>
      <c r="AD135" t="s">
        <v>25</v>
      </c>
      <c r="AI135" s="20">
        <v>115</v>
      </c>
      <c r="AJ135" s="115" t="s">
        <v>4593</v>
      </c>
      <c r="AK135" s="115">
        <v>404000</v>
      </c>
      <c r="AL135" s="20">
        <v>5</v>
      </c>
      <c r="AM135" s="97">
        <f t="shared" si="42"/>
        <v>1091</v>
      </c>
      <c r="AN135" s="115">
        <f t="shared" si="40"/>
        <v>440764000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6930</v>
      </c>
      <c r="T136" s="205">
        <f>T115-1284</f>
        <v>19</v>
      </c>
      <c r="U136" s="205" t="s">
        <v>6959</v>
      </c>
      <c r="V136" s="205">
        <v>1312</v>
      </c>
      <c r="W136" s="97">
        <f t="shared" si="36"/>
        <v>1351.0652493150685</v>
      </c>
      <c r="X136" s="32">
        <f t="shared" si="45"/>
        <v>1378.0865543013699</v>
      </c>
      <c r="Y136" s="32">
        <f t="shared" si="46"/>
        <v>1405.1078592876713</v>
      </c>
      <c r="Z136" s="447">
        <v>212251</v>
      </c>
      <c r="AA136" s="447"/>
      <c r="AB136" s="447"/>
      <c r="AI136" s="87">
        <v>116</v>
      </c>
      <c r="AJ136" s="88" t="s">
        <v>4606</v>
      </c>
      <c r="AK136" s="88">
        <v>4291628</v>
      </c>
      <c r="AL136" s="87">
        <v>2</v>
      </c>
      <c r="AM136" s="87">
        <f t="shared" si="42"/>
        <v>1086</v>
      </c>
      <c r="AN136" s="88">
        <f t="shared" si="40"/>
        <v>4660708008</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6955</v>
      </c>
      <c r="T137" s="205">
        <f>T115-1296</f>
        <v>7</v>
      </c>
      <c r="U137" s="205" t="s">
        <v>6956</v>
      </c>
      <c r="V137" s="205">
        <v>531</v>
      </c>
      <c r="W137" s="97">
        <f t="shared" si="36"/>
        <v>541.92259726027407</v>
      </c>
      <c r="X137" s="32">
        <f t="shared" si="45"/>
        <v>552.76104920547959</v>
      </c>
      <c r="Y137" s="32">
        <f t="shared" si="46"/>
        <v>563.599501150685</v>
      </c>
      <c r="Z137" s="456"/>
      <c r="AA137" s="456"/>
      <c r="AB137" s="456">
        <v>152444</v>
      </c>
      <c r="AD137" t="s">
        <v>25</v>
      </c>
      <c r="AI137" s="20">
        <v>117</v>
      </c>
      <c r="AJ137" s="115" t="s">
        <v>4609</v>
      </c>
      <c r="AK137" s="115">
        <v>1000</v>
      </c>
      <c r="AL137" s="20">
        <v>5</v>
      </c>
      <c r="AM137" s="20">
        <f t="shared" si="42"/>
        <v>1084</v>
      </c>
      <c r="AN137" s="115">
        <f t="shared" si="40"/>
        <v>1084000</v>
      </c>
      <c r="AO137" s="20"/>
    </row>
    <row r="138" spans="6:44">
      <c r="G138" s="32" t="s">
        <v>5438</v>
      </c>
      <c r="H138" s="32"/>
      <c r="I138" s="205"/>
      <c r="J138" s="205"/>
      <c r="K138" s="32"/>
      <c r="L138" s="97">
        <f t="shared" si="47"/>
        <v>0</v>
      </c>
      <c r="M138" s="97">
        <f t="shared" si="48"/>
        <v>0</v>
      </c>
      <c r="R138" s="167"/>
      <c r="S138" s="205" t="s">
        <v>6957</v>
      </c>
      <c r="T138" s="205">
        <f>T115-1297</f>
        <v>6</v>
      </c>
      <c r="U138" s="205" t="s">
        <v>6958</v>
      </c>
      <c r="V138" s="205">
        <v>508</v>
      </c>
      <c r="W138" s="97">
        <f t="shared" si="36"/>
        <v>518.05979178082191</v>
      </c>
      <c r="X138" s="32">
        <f t="shared" si="45"/>
        <v>528.42098761643831</v>
      </c>
      <c r="Y138" s="32">
        <f t="shared" si="46"/>
        <v>538.78218345205482</v>
      </c>
      <c r="Z138" s="474"/>
      <c r="AA138" s="474"/>
      <c r="AB138" s="474">
        <v>2680323</v>
      </c>
      <c r="AI138" s="119">
        <v>118</v>
      </c>
      <c r="AJ138" s="77" t="s">
        <v>4617</v>
      </c>
      <c r="AK138" s="77">
        <v>8739459</v>
      </c>
      <c r="AL138" s="119">
        <v>2</v>
      </c>
      <c r="AM138" s="119">
        <f t="shared" si="42"/>
        <v>1079</v>
      </c>
      <c r="AN138" s="77">
        <f t="shared" si="40"/>
        <v>9429876261</v>
      </c>
      <c r="AO138" s="119" t="s">
        <v>4581</v>
      </c>
    </row>
    <row r="139" spans="6:44">
      <c r="G139" s="32" t="s">
        <v>5439</v>
      </c>
      <c r="H139" s="32"/>
      <c r="I139" s="205"/>
      <c r="J139" s="205"/>
      <c r="K139" s="32"/>
      <c r="L139" s="97">
        <f t="shared" si="47"/>
        <v>0</v>
      </c>
      <c r="M139" s="97">
        <f t="shared" si="48"/>
        <v>0</v>
      </c>
      <c r="N139" s="94"/>
      <c r="R139" s="167"/>
      <c r="S139" s="205" t="s">
        <v>6960</v>
      </c>
      <c r="T139" s="205">
        <f>T115-1303</f>
        <v>0</v>
      </c>
      <c r="U139" s="205" t="s">
        <v>6961</v>
      </c>
      <c r="V139" s="205">
        <v>1362</v>
      </c>
      <c r="W139" s="97">
        <f t="shared" si="36"/>
        <v>1382.7024000000001</v>
      </c>
      <c r="X139" s="32">
        <f t="shared" si="45"/>
        <v>1410.3564480000002</v>
      </c>
      <c r="Y139" s="32">
        <f t="shared" si="46"/>
        <v>1438.0104960000001</v>
      </c>
      <c r="Z139" s="474">
        <v>50174</v>
      </c>
      <c r="AA139" s="474"/>
      <c r="AB139" s="474"/>
      <c r="AD139" t="s">
        <v>25</v>
      </c>
      <c r="AI139" s="119">
        <v>119</v>
      </c>
      <c r="AJ139" s="77" t="s">
        <v>4618</v>
      </c>
      <c r="AK139" s="77">
        <v>17595278</v>
      </c>
      <c r="AL139" s="119">
        <v>1</v>
      </c>
      <c r="AM139" s="119">
        <f t="shared" si="42"/>
        <v>1077</v>
      </c>
      <c r="AN139" s="77">
        <f t="shared" si="40"/>
        <v>18950114406</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t="s">
        <v>6964</v>
      </c>
      <c r="T140" s="205">
        <f>T115-1304</f>
        <v>-1</v>
      </c>
      <c r="U140" s="205" t="s">
        <v>6972</v>
      </c>
      <c r="V140" s="205">
        <v>1430</v>
      </c>
      <c r="W140" s="97">
        <f t="shared" si="36"/>
        <v>1450.6390136986304</v>
      </c>
      <c r="X140" s="32">
        <f t="shared" si="45"/>
        <v>1479.6517939726029</v>
      </c>
      <c r="Y140" s="32">
        <f t="shared" si="46"/>
        <v>1508.6645742465757</v>
      </c>
      <c r="Z140" s="475">
        <v>10572</v>
      </c>
      <c r="AA140" s="475"/>
      <c r="AB140" s="475"/>
      <c r="AI140" s="119">
        <v>120</v>
      </c>
      <c r="AJ140" s="77" t="s">
        <v>4619</v>
      </c>
      <c r="AK140" s="77">
        <v>13335309</v>
      </c>
      <c r="AL140" s="119">
        <v>13</v>
      </c>
      <c r="AM140" s="119">
        <f t="shared" si="42"/>
        <v>1076</v>
      </c>
      <c r="AN140" s="77">
        <f t="shared" si="40"/>
        <v>14348792484</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205" t="s">
        <v>6973</v>
      </c>
      <c r="T141" s="205">
        <f>T115-1305</f>
        <v>-2</v>
      </c>
      <c r="U141" s="205" t="s">
        <v>6981</v>
      </c>
      <c r="V141" s="205">
        <v>1429</v>
      </c>
      <c r="W141" s="97">
        <f t="shared" si="36"/>
        <v>1448.5283616438358</v>
      </c>
      <c r="X141" s="32">
        <f t="shared" si="45"/>
        <v>1477.4989288767124</v>
      </c>
      <c r="Y141" s="32">
        <f t="shared" si="46"/>
        <v>1506.4694961095893</v>
      </c>
      <c r="Z141" s="481">
        <v>19344</v>
      </c>
      <c r="AA141" s="481"/>
      <c r="AB141" s="481"/>
      <c r="AC141" t="s">
        <v>25</v>
      </c>
      <c r="AI141" s="159">
        <v>121</v>
      </c>
      <c r="AJ141" s="215" t="s">
        <v>4668</v>
      </c>
      <c r="AK141" s="215">
        <v>50000000</v>
      </c>
      <c r="AL141" s="159">
        <v>11</v>
      </c>
      <c r="AM141" s="159">
        <f t="shared" si="42"/>
        <v>1063</v>
      </c>
      <c r="AN141" s="215">
        <f t="shared" si="40"/>
        <v>53150000000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67"/>
      <c r="S142" s="205" t="s">
        <v>6973</v>
      </c>
      <c r="T142" s="205">
        <f>T115-1305</f>
        <v>-2</v>
      </c>
      <c r="U142" s="205" t="s">
        <v>6982</v>
      </c>
      <c r="V142" s="205">
        <v>750</v>
      </c>
      <c r="W142" s="97">
        <f t="shared" si="36"/>
        <v>760.24931506849316</v>
      </c>
      <c r="X142" s="32">
        <f t="shared" si="45"/>
        <v>775.45430136986306</v>
      </c>
      <c r="Y142" s="32">
        <f t="shared" si="46"/>
        <v>790.65928767123296</v>
      </c>
      <c r="Z142" s="481"/>
      <c r="AA142" s="481"/>
      <c r="AB142" s="481"/>
      <c r="AI142" s="20">
        <v>122</v>
      </c>
      <c r="AJ142" s="115" t="s">
        <v>957</v>
      </c>
      <c r="AK142" s="115">
        <v>30000</v>
      </c>
      <c r="AL142" s="20">
        <v>3</v>
      </c>
      <c r="AM142" s="20">
        <f t="shared" si="42"/>
        <v>1052</v>
      </c>
      <c r="AN142" s="115">
        <f t="shared" si="40"/>
        <v>31560000</v>
      </c>
      <c r="AO142" s="20"/>
    </row>
    <row r="143" spans="6:44">
      <c r="G143" s="32" t="s">
        <v>5464</v>
      </c>
      <c r="H143" s="32">
        <v>3298939</v>
      </c>
      <c r="I143" s="205">
        <v>281309</v>
      </c>
      <c r="J143" s="205">
        <v>2465538</v>
      </c>
      <c r="K143" s="32">
        <v>210242</v>
      </c>
      <c r="L143" s="97">
        <f t="shared" si="47"/>
        <v>5764477</v>
      </c>
      <c r="M143" s="97">
        <f t="shared" si="48"/>
        <v>491551</v>
      </c>
      <c r="N143" s="94"/>
      <c r="Q143" s="112"/>
      <c r="R143" s="167"/>
      <c r="S143" s="205"/>
      <c r="T143" s="205"/>
      <c r="U143" s="205"/>
      <c r="V143" s="205"/>
      <c r="W143" s="97"/>
      <c r="X143" s="32"/>
      <c r="Y143" s="32"/>
      <c r="Z143" s="481"/>
      <c r="AA143" s="481"/>
      <c r="AB143" s="481"/>
      <c r="AI143" s="20">
        <v>123</v>
      </c>
      <c r="AJ143" s="115" t="s">
        <v>4724</v>
      </c>
      <c r="AK143" s="115">
        <v>600000</v>
      </c>
      <c r="AL143" s="20">
        <v>1</v>
      </c>
      <c r="AM143" s="20">
        <f t="shared" si="42"/>
        <v>1049</v>
      </c>
      <c r="AN143" s="115">
        <f t="shared" si="40"/>
        <v>629400000</v>
      </c>
      <c r="AO143" s="20"/>
    </row>
    <row r="144" spans="6:44">
      <c r="G144" s="32" t="s">
        <v>5468</v>
      </c>
      <c r="H144" s="32">
        <v>3453903</v>
      </c>
      <c r="I144" s="205">
        <v>259725</v>
      </c>
      <c r="J144" s="205">
        <v>2541096</v>
      </c>
      <c r="K144" s="32">
        <v>191084</v>
      </c>
      <c r="L144" s="97">
        <f t="shared" si="47"/>
        <v>5994999</v>
      </c>
      <c r="M144" s="97">
        <f t="shared" si="48"/>
        <v>450809</v>
      </c>
      <c r="N144" s="94"/>
      <c r="R144" s="167"/>
      <c r="S144" s="205"/>
      <c r="T144" s="205"/>
      <c r="U144" s="205"/>
      <c r="V144" s="205"/>
      <c r="W144" s="97"/>
      <c r="X144" s="32"/>
      <c r="Y144" s="32"/>
      <c r="Z144" s="475"/>
      <c r="AA144" s="475"/>
      <c r="AB144" s="475"/>
      <c r="AI144" s="20">
        <v>124</v>
      </c>
      <c r="AJ144" s="115" t="s">
        <v>4727</v>
      </c>
      <c r="AK144" s="115">
        <v>30000</v>
      </c>
      <c r="AL144" s="20">
        <v>3</v>
      </c>
      <c r="AM144" s="20">
        <f t="shared" si="42"/>
        <v>1048</v>
      </c>
      <c r="AN144" s="115">
        <f t="shared" si="40"/>
        <v>31440000</v>
      </c>
      <c r="AO144" s="20"/>
    </row>
    <row r="145" spans="5:45">
      <c r="G145" s="32" t="s">
        <v>6240</v>
      </c>
      <c r="H145" s="32">
        <v>4796613</v>
      </c>
      <c r="I145" s="205">
        <v>250296</v>
      </c>
      <c r="J145" s="205">
        <v>2687591</v>
      </c>
      <c r="K145" s="32">
        <v>140243</v>
      </c>
      <c r="L145" s="97">
        <f t="shared" si="47"/>
        <v>7484204</v>
      </c>
      <c r="M145" s="97">
        <f t="shared" si="48"/>
        <v>390539</v>
      </c>
      <c r="N145" s="94"/>
      <c r="P145" t="s">
        <v>25</v>
      </c>
      <c r="R145" s="167"/>
      <c r="S145" s="205"/>
      <c r="T145" s="205" t="s">
        <v>25</v>
      </c>
      <c r="U145" s="205" t="s">
        <v>25</v>
      </c>
      <c r="V145" s="205"/>
      <c r="W145" s="97" t="e">
        <f>V145*(1+$S$111+$R$15*T145/36500)</f>
        <v>#VALUE!</v>
      </c>
      <c r="X145" s="32" t="e">
        <f t="shared" si="45"/>
        <v>#VALUE!</v>
      </c>
      <c r="Y145" s="32" t="e">
        <f t="shared" si="46"/>
        <v>#VALUE!</v>
      </c>
      <c r="Z145" s="94"/>
      <c r="AA145" s="94" t="s">
        <v>25</v>
      </c>
      <c r="AB145" s="321"/>
      <c r="AC145" t="s">
        <v>25</v>
      </c>
      <c r="AD145" t="s">
        <v>25</v>
      </c>
      <c r="AI145" s="20">
        <v>125</v>
      </c>
      <c r="AJ145" s="115" t="s">
        <v>4733</v>
      </c>
      <c r="AK145" s="115">
        <v>2250000</v>
      </c>
      <c r="AL145" s="20">
        <v>1</v>
      </c>
      <c r="AM145" s="20">
        <f t="shared" si="42"/>
        <v>1045</v>
      </c>
      <c r="AN145" s="115">
        <f>AK145*AM145</f>
        <v>2351250000</v>
      </c>
      <c r="AO145" s="20"/>
      <c r="AS145" t="s">
        <v>25</v>
      </c>
    </row>
    <row r="146" spans="5:45">
      <c r="G146" s="32"/>
      <c r="H146" s="32"/>
      <c r="I146" s="205"/>
      <c r="J146" s="205"/>
      <c r="K146" s="32"/>
      <c r="L146" s="97"/>
      <c r="M146" s="97"/>
      <c r="R146" s="167"/>
      <c r="S146" s="166"/>
      <c r="T146" s="166"/>
      <c r="U146" s="166" t="s">
        <v>25</v>
      </c>
      <c r="V146" s="166"/>
      <c r="W146" s="97">
        <f>V146*(1+$S$111+$R$15*T146/36500)</f>
        <v>0</v>
      </c>
      <c r="X146" s="32">
        <f t="shared" si="45"/>
        <v>0</v>
      </c>
      <c r="Y146" s="32">
        <f t="shared" si="46"/>
        <v>0</v>
      </c>
      <c r="Z146" t="s">
        <v>25</v>
      </c>
      <c r="AA146" t="s">
        <v>25</v>
      </c>
      <c r="AB146" s="94" t="s">
        <v>25</v>
      </c>
      <c r="AC146" s="94"/>
      <c r="AI146" s="23">
        <v>126</v>
      </c>
      <c r="AJ146" s="35" t="s">
        <v>4738</v>
      </c>
      <c r="AK146" s="35">
        <v>-31412200</v>
      </c>
      <c r="AL146" s="23">
        <v>1</v>
      </c>
      <c r="AM146" s="20">
        <f t="shared" si="42"/>
        <v>1044</v>
      </c>
      <c r="AN146" s="35">
        <f>AK146*AM146</f>
        <v>-32794336800</v>
      </c>
      <c r="AO146" s="23" t="s">
        <v>4726</v>
      </c>
    </row>
    <row r="147" spans="5:45">
      <c r="G147" s="32"/>
      <c r="H147" s="32"/>
      <c r="I147" s="205"/>
      <c r="J147" s="205"/>
      <c r="K147" s="32"/>
      <c r="L147" s="97">
        <f>H147+J147</f>
        <v>0</v>
      </c>
      <c r="M147" s="97">
        <f>I147+K147</f>
        <v>0</v>
      </c>
      <c r="R147" s="111">
        <f>SUM(N55:N59)-SUM(R115:R146)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2"/>
        <v>1043</v>
      </c>
      <c r="AN147" s="115">
        <f>AK147*AM147</f>
        <v>73010000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42"/>
        <v>1034</v>
      </c>
      <c r="AN148" s="115">
        <f>AK148*AM148</f>
        <v>20680000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2"/>
        <v>1024</v>
      </c>
      <c r="AN149" s="115">
        <f>AK149*AM149</f>
        <v>1024000000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2"/>
        <v>1023</v>
      </c>
      <c r="AN150" s="115">
        <f t="shared" ref="AN150:AN177" si="49">AK150*AM150</f>
        <v>67139722221</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2"/>
        <v>1023</v>
      </c>
      <c r="AN151" s="115">
        <f t="shared" si="49"/>
        <v>-3580500000</v>
      </c>
      <c r="AO151" s="20" t="s">
        <v>4776</v>
      </c>
    </row>
    <row r="152" spans="5:45">
      <c r="G152" s="205" t="s">
        <v>5416</v>
      </c>
      <c r="H152" s="1">
        <v>30000000</v>
      </c>
      <c r="I152" s="291"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2"/>
        <v>1017</v>
      </c>
      <c r="AN152" s="115">
        <f t="shared" si="49"/>
        <v>2562840000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42"/>
        <v>1005</v>
      </c>
      <c r="AN153" s="115">
        <f t="shared" si="49"/>
        <v>1407000000</v>
      </c>
      <c r="AO153" s="20"/>
    </row>
    <row r="154" spans="5:45">
      <c r="G154" s="205" t="s">
        <v>5418</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4836</v>
      </c>
      <c r="AK154" s="111">
        <v>1550000</v>
      </c>
      <c r="AL154" s="97">
        <v>2</v>
      </c>
      <c r="AM154" s="20">
        <f t="shared" si="42"/>
        <v>1001</v>
      </c>
      <c r="AN154" s="115">
        <f t="shared" si="49"/>
        <v>1551550000</v>
      </c>
      <c r="AO154" s="20"/>
    </row>
    <row r="155" spans="5:45">
      <c r="G155" s="205" t="s">
        <v>5419</v>
      </c>
      <c r="H155" s="1">
        <v>1215000</v>
      </c>
      <c r="I155" t="s">
        <v>5445</v>
      </c>
      <c r="O155" s="94"/>
      <c r="P155" s="112"/>
      <c r="R155" s="94"/>
      <c r="S155" s="94"/>
      <c r="T155" s="94"/>
      <c r="U155" s="120">
        <f>W155-$W$161</f>
        <v>1444151</v>
      </c>
      <c r="V155" s="294" t="s">
        <v>743</v>
      </c>
      <c r="W155" s="294">
        <v>1444151</v>
      </c>
      <c r="X155" s="430">
        <f>W155*$U$574</f>
        <v>4204898846.6275272</v>
      </c>
      <c r="Y155">
        <f>X155*100/$X$161</f>
        <v>34.606415943358762</v>
      </c>
      <c r="Z155" s="111">
        <f>Y155*0.01*$Z$152</f>
        <v>371152487.29711294</v>
      </c>
      <c r="AA155" s="111">
        <f>Y155*0.01*$AA$152</f>
        <v>126313418.19325949</v>
      </c>
      <c r="AB155" t="s">
        <v>25</v>
      </c>
      <c r="AC155" t="s">
        <v>25</v>
      </c>
      <c r="AI155" s="97">
        <v>135</v>
      </c>
      <c r="AJ155" s="111" t="s">
        <v>4793</v>
      </c>
      <c r="AK155" s="111">
        <v>250000</v>
      </c>
      <c r="AL155" s="97">
        <v>6</v>
      </c>
      <c r="AM155" s="20">
        <f t="shared" si="42"/>
        <v>999</v>
      </c>
      <c r="AN155" s="115">
        <f t="shared" si="49"/>
        <v>249750000</v>
      </c>
      <c r="AO155" s="20"/>
    </row>
    <row r="156" spans="5:45">
      <c r="G156" s="205" t="s">
        <v>5420</v>
      </c>
      <c r="H156" s="1">
        <v>15350000</v>
      </c>
      <c r="I156" s="291" t="s">
        <v>5446</v>
      </c>
      <c r="Q156" s="112"/>
      <c r="R156" t="s">
        <v>25</v>
      </c>
      <c r="U156" s="120">
        <f>W156-$W$161</f>
        <v>2547892</v>
      </c>
      <c r="V156" s="294" t="s">
        <v>4407</v>
      </c>
      <c r="W156" s="294">
        <v>2547892</v>
      </c>
      <c r="X156" s="430">
        <f>W156*$U$574</f>
        <v>7418634292.4884615</v>
      </c>
      <c r="Y156" s="94">
        <f>X156*100/$X$161</f>
        <v>61.055533895524952</v>
      </c>
      <c r="Z156" s="111">
        <f>Y156*0.01*$Z$152</f>
        <v>654818265.65533352</v>
      </c>
      <c r="AA156" s="111">
        <f>Y156*0.01*$AA$152</f>
        <v>222852698.71866608</v>
      </c>
      <c r="AB156" t="s">
        <v>25</v>
      </c>
      <c r="AI156" s="97">
        <v>136</v>
      </c>
      <c r="AJ156" s="111" t="s">
        <v>4845</v>
      </c>
      <c r="AK156" s="111">
        <v>-48527480</v>
      </c>
      <c r="AL156" s="97">
        <v>14</v>
      </c>
      <c r="AM156" s="20">
        <f t="shared" si="42"/>
        <v>993</v>
      </c>
      <c r="AN156" s="115">
        <f t="shared" si="49"/>
        <v>-48187787640</v>
      </c>
      <c r="AO156" s="20" t="s">
        <v>4847</v>
      </c>
    </row>
    <row r="157" spans="5:45">
      <c r="G157" s="205" t="s">
        <v>5421</v>
      </c>
      <c r="H157" s="1">
        <v>70000</v>
      </c>
      <c r="I157" t="s">
        <v>5447</v>
      </c>
      <c r="K157" t="s">
        <v>25</v>
      </c>
      <c r="M157" t="s">
        <v>25</v>
      </c>
      <c r="P157" s="112"/>
      <c r="Q157" s="112"/>
      <c r="R157" t="s">
        <v>25</v>
      </c>
      <c r="T157" t="s">
        <v>25</v>
      </c>
      <c r="U157" s="120">
        <f>W157-$W$161</f>
        <v>46230</v>
      </c>
      <c r="V157" s="294" t="s">
        <v>4406</v>
      </c>
      <c r="W157" s="294">
        <v>46230</v>
      </c>
      <c r="X157" s="430">
        <f>W157*$U$574</f>
        <v>134606750.73423111</v>
      </c>
      <c r="Y157" s="94">
        <f>X157*100/$X$161</f>
        <v>1.1078167096525748</v>
      </c>
      <c r="Z157" s="111">
        <f>Y157*0.01*$Z$152</f>
        <v>11881291.837034721</v>
      </c>
      <c r="AA157" s="111">
        <f>Y157*0.01*$AA$152</f>
        <v>4043530.9902318986</v>
      </c>
      <c r="AB157" t="s">
        <v>25</v>
      </c>
      <c r="AI157" s="97">
        <v>137</v>
      </c>
      <c r="AJ157" s="111" t="s">
        <v>4867</v>
      </c>
      <c r="AK157" s="111">
        <v>2100000</v>
      </c>
      <c r="AL157" s="97">
        <v>1</v>
      </c>
      <c r="AM157" s="20">
        <f t="shared" si="42"/>
        <v>979</v>
      </c>
      <c r="AN157" s="115">
        <f t="shared" si="49"/>
        <v>2055900000</v>
      </c>
      <c r="AO157" s="20"/>
    </row>
    <row r="158" spans="5:45">
      <c r="G158" s="205" t="s">
        <v>5425</v>
      </c>
      <c r="H158" s="1">
        <v>800000</v>
      </c>
      <c r="I158" t="s">
        <v>5448</v>
      </c>
      <c r="P158" s="94"/>
      <c r="Q158" s="112"/>
      <c r="R158" t="s">
        <v>25</v>
      </c>
      <c r="U158" s="120">
        <f>W158-$W$161</f>
        <v>134800</v>
      </c>
      <c r="V158" s="294" t="s">
        <v>1069</v>
      </c>
      <c r="W158" s="294">
        <v>134800</v>
      </c>
      <c r="X158" s="430">
        <f>W158*$U$574</f>
        <v>392493835.14978051</v>
      </c>
      <c r="Y158" s="94">
        <f>X158*100/$X$161</f>
        <v>3.2302334514637048</v>
      </c>
      <c r="Z158" s="111">
        <f>Y158*0.01*$Z$152</f>
        <v>34644130.210518718</v>
      </c>
      <c r="AA158" s="111">
        <f>Y158*0.01*$AA$152</f>
        <v>11790352.097842524</v>
      </c>
      <c r="AI158" s="97">
        <v>138</v>
      </c>
      <c r="AJ158" s="111" t="s">
        <v>4870</v>
      </c>
      <c r="AK158" s="111">
        <v>100000</v>
      </c>
      <c r="AL158" s="97">
        <v>4</v>
      </c>
      <c r="AM158" s="20">
        <f>AM159+AL158</f>
        <v>978</v>
      </c>
      <c r="AN158" s="115">
        <f t="shared" si="49"/>
        <v>97800000</v>
      </c>
      <c r="AO158" s="20"/>
    </row>
    <row r="159" spans="5:45">
      <c r="G159" s="205" t="s">
        <v>5437</v>
      </c>
      <c r="H159" s="1">
        <v>1948000</v>
      </c>
      <c r="Q159" s="112"/>
      <c r="V159" s="294"/>
      <c r="W159" s="294"/>
      <c r="X159" s="294"/>
      <c r="Y159" s="113"/>
      <c r="Z159" t="s">
        <v>25</v>
      </c>
      <c r="AB159" t="s">
        <v>25</v>
      </c>
      <c r="AI159" s="97">
        <v>139</v>
      </c>
      <c r="AJ159" s="111" t="s">
        <v>4875</v>
      </c>
      <c r="AK159" s="111">
        <v>900000</v>
      </c>
      <c r="AL159" s="97">
        <v>0</v>
      </c>
      <c r="AM159" s="20">
        <f t="shared" ref="AM159:AM168" si="50">AM160+AL159</f>
        <v>974</v>
      </c>
      <c r="AN159" s="115">
        <f t="shared" ref="AN159:AN168" si="51">AK159*AM159</f>
        <v>876600000</v>
      </c>
      <c r="AO159" s="20"/>
      <c r="AQ159" t="s">
        <v>25</v>
      </c>
    </row>
    <row r="160" spans="5:45">
      <c r="G160" s="205" t="s">
        <v>5462</v>
      </c>
      <c r="H160" s="1">
        <v>5745697.3157000002</v>
      </c>
      <c r="Q160" s="112"/>
      <c r="R160" t="s">
        <v>25</v>
      </c>
      <c r="T160" t="s">
        <v>25</v>
      </c>
      <c r="U160" s="94"/>
      <c r="V160" s="294"/>
      <c r="W160" s="294">
        <f>SUM(W155:W158)</f>
        <v>4173073</v>
      </c>
      <c r="X160" s="294"/>
      <c r="Y160" s="112" t="s">
        <v>25</v>
      </c>
      <c r="Z160" t="s">
        <v>25</v>
      </c>
      <c r="AA160" t="s">
        <v>25</v>
      </c>
      <c r="AI160" s="97">
        <v>140</v>
      </c>
      <c r="AJ160" s="111" t="s">
        <v>4875</v>
      </c>
      <c r="AK160" s="111">
        <v>1100000</v>
      </c>
      <c r="AL160" s="97">
        <v>0</v>
      </c>
      <c r="AM160" s="20">
        <f t="shared" si="50"/>
        <v>974</v>
      </c>
      <c r="AN160" s="115">
        <f t="shared" si="51"/>
        <v>1071400000</v>
      </c>
      <c r="AO160" s="20" t="s">
        <v>4889</v>
      </c>
      <c r="AR160" t="s">
        <v>25</v>
      </c>
    </row>
    <row r="161" spans="7:44">
      <c r="G161" s="205" t="s">
        <v>5463</v>
      </c>
      <c r="H161" s="1">
        <v>908158.17935999995</v>
      </c>
      <c r="Q161" s="112"/>
      <c r="R161" s="94" t="s">
        <v>25</v>
      </c>
      <c r="S161" s="94"/>
      <c r="T161" s="94" t="s">
        <v>25</v>
      </c>
      <c r="U161" t="s">
        <v>25</v>
      </c>
      <c r="V161" s="294"/>
      <c r="W161" s="294">
        <f>W160-V571</f>
        <v>0</v>
      </c>
      <c r="X161" s="430">
        <f>SUM(X155:X158)</f>
        <v>12150633725.000002</v>
      </c>
      <c r="Y161" s="94"/>
      <c r="Z161" t="s">
        <v>25</v>
      </c>
      <c r="AA161" t="s">
        <v>25</v>
      </c>
      <c r="AI161" s="97">
        <v>141</v>
      </c>
      <c r="AJ161" s="111" t="s">
        <v>4875</v>
      </c>
      <c r="AK161" s="111">
        <v>115000</v>
      </c>
      <c r="AL161" s="97"/>
      <c r="AM161" s="20">
        <f t="shared" si="50"/>
        <v>974</v>
      </c>
      <c r="AN161" s="115">
        <f t="shared" si="51"/>
        <v>112010000</v>
      </c>
      <c r="AO161" s="20"/>
      <c r="AR161" t="s">
        <v>25</v>
      </c>
    </row>
    <row r="162" spans="7:44">
      <c r="G162" s="205" t="s">
        <v>5464</v>
      </c>
      <c r="H162" s="1">
        <v>12642697.648548001</v>
      </c>
      <c r="O162" s="94" t="s">
        <v>25</v>
      </c>
      <c r="P162" s="112"/>
      <c r="Q162" s="112"/>
      <c r="R162" s="94"/>
      <c r="S162" s="94"/>
      <c r="T162" s="94"/>
      <c r="U162" s="94" t="s">
        <v>25</v>
      </c>
      <c r="V162" s="294"/>
      <c r="W162" s="294" t="s">
        <v>5805</v>
      </c>
      <c r="X162" s="430">
        <f>S173-X158</f>
        <v>97941436.850219488</v>
      </c>
      <c r="Y162" s="94"/>
      <c r="Z162" t="s">
        <v>25</v>
      </c>
      <c r="AA162" t="s">
        <v>25</v>
      </c>
      <c r="AI162" s="97">
        <v>142</v>
      </c>
      <c r="AJ162" s="111" t="s">
        <v>4883</v>
      </c>
      <c r="AK162" s="111">
        <v>-1100000</v>
      </c>
      <c r="AL162" s="97"/>
      <c r="AM162" s="20">
        <f t="shared" si="50"/>
        <v>974</v>
      </c>
      <c r="AN162" s="115">
        <f t="shared" si="51"/>
        <v>-1071400000</v>
      </c>
      <c r="AO162" s="20" t="s">
        <v>4890</v>
      </c>
      <c r="AR162" t="s">
        <v>25</v>
      </c>
    </row>
    <row r="163" spans="7:44">
      <c r="G163" s="205" t="s">
        <v>5465</v>
      </c>
      <c r="H163" s="1">
        <v>12297318</v>
      </c>
      <c r="I163" t="s">
        <v>25</v>
      </c>
      <c r="O163" s="94"/>
      <c r="P163" s="112"/>
      <c r="Q163" s="112"/>
      <c r="R163" s="94" t="s">
        <v>25</v>
      </c>
      <c r="S163" s="94"/>
      <c r="T163" s="94"/>
      <c r="U163" s="94" t="s">
        <v>25</v>
      </c>
      <c r="V163" s="294"/>
      <c r="W163" s="294" t="s">
        <v>5804</v>
      </c>
      <c r="X163" s="430">
        <f>X157-X162</f>
        <v>36665313.884011626</v>
      </c>
      <c r="Y163" s="94"/>
      <c r="AA163" t="s">
        <v>25</v>
      </c>
      <c r="AB163" t="s">
        <v>25</v>
      </c>
      <c r="AI163" s="97">
        <v>143</v>
      </c>
      <c r="AJ163" s="111" t="s">
        <v>4883</v>
      </c>
      <c r="AK163" s="111">
        <v>900000</v>
      </c>
      <c r="AL163" s="97">
        <v>1</v>
      </c>
      <c r="AM163" s="20">
        <f t="shared" si="50"/>
        <v>974</v>
      </c>
      <c r="AN163" s="115">
        <f t="shared" si="51"/>
        <v>876600000</v>
      </c>
      <c r="AO163" s="20" t="s">
        <v>4889</v>
      </c>
    </row>
    <row r="164" spans="7:44">
      <c r="G164" s="205" t="s">
        <v>5466</v>
      </c>
      <c r="H164" s="1">
        <v>8959644</v>
      </c>
      <c r="O164" s="94"/>
      <c r="P164" s="112"/>
      <c r="Q164" s="112"/>
      <c r="R164" s="94" t="s">
        <v>25</v>
      </c>
      <c r="S164" s="94"/>
      <c r="T164" s="94" t="s">
        <v>25</v>
      </c>
      <c r="U164" s="94"/>
      <c r="V164" s="294"/>
      <c r="W164" s="294" t="s">
        <v>4911</v>
      </c>
      <c r="X164" s="430">
        <f>X155+X163-S172</f>
        <v>156690597.51153898</v>
      </c>
      <c r="Y164" s="94"/>
      <c r="Z164" t="s">
        <v>25</v>
      </c>
      <c r="AI164" s="97">
        <v>144</v>
      </c>
      <c r="AJ164" s="111" t="s">
        <v>4887</v>
      </c>
      <c r="AK164" s="111">
        <v>2000000</v>
      </c>
      <c r="AL164" s="97">
        <v>0</v>
      </c>
      <c r="AM164" s="20">
        <f t="shared" si="50"/>
        <v>973</v>
      </c>
      <c r="AN164" s="115">
        <f t="shared" si="51"/>
        <v>1946000000</v>
      </c>
      <c r="AO164" s="20"/>
    </row>
    <row r="165" spans="7:44">
      <c r="G165" s="205" t="s">
        <v>5467</v>
      </c>
      <c r="H165" s="111">
        <v>15154095.839328</v>
      </c>
      <c r="O165" s="94"/>
      <c r="P165" s="112"/>
      <c r="Q165" s="112"/>
      <c r="R165" s="94"/>
      <c r="S165" s="94"/>
      <c r="T165" s="94"/>
      <c r="U165" s="94"/>
      <c r="V165" s="294"/>
      <c r="W165" s="294"/>
      <c r="X165" s="430"/>
      <c r="Y165" s="113"/>
      <c r="Z165" t="s">
        <v>25</v>
      </c>
      <c r="AI165" s="97">
        <v>145</v>
      </c>
      <c r="AJ165" s="111" t="s">
        <v>4887</v>
      </c>
      <c r="AK165" s="111">
        <v>360000</v>
      </c>
      <c r="AL165" s="97">
        <v>1</v>
      </c>
      <c r="AM165" s="20">
        <f t="shared" si="50"/>
        <v>973</v>
      </c>
      <c r="AN165" s="115">
        <f t="shared" si="51"/>
        <v>350280000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50"/>
        <v>972</v>
      </c>
      <c r="AN166" s="115">
        <f t="shared" si="51"/>
        <v>2916000000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50"/>
        <v>971</v>
      </c>
      <c r="AN167" s="115">
        <f t="shared" si="51"/>
        <v>-639137446</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50"/>
        <v>970</v>
      </c>
      <c r="AN168" s="115">
        <f t="shared" si="51"/>
        <v>970000000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42"/>
        <v>955</v>
      </c>
      <c r="AN169" s="115">
        <f t="shared" si="49"/>
        <v>1079388750</v>
      </c>
      <c r="AO169" s="20"/>
    </row>
    <row r="170" spans="7:44">
      <c r="G170" s="205" t="s">
        <v>5483</v>
      </c>
      <c r="H170" s="111">
        <v>2281961.458596</v>
      </c>
      <c r="P170" s="112"/>
      <c r="Q170" s="112"/>
      <c r="R170" s="94"/>
      <c r="S170" s="94"/>
      <c r="T170" s="94"/>
      <c r="U170" s="111" t="s">
        <v>4417</v>
      </c>
      <c r="V170" s="54">
        <v>1000000</v>
      </c>
      <c r="W170" s="111">
        <v>239.024</v>
      </c>
      <c r="X170" s="111">
        <f t="shared" ref="X170:X271" si="52">V170*W170</f>
        <v>239024000</v>
      </c>
      <c r="Y170" s="97"/>
      <c r="AA170" t="s">
        <v>25</v>
      </c>
      <c r="AF170" s="94" t="s">
        <v>25</v>
      </c>
      <c r="AI170" s="97">
        <v>150</v>
      </c>
      <c r="AJ170" s="111" t="s">
        <v>4924</v>
      </c>
      <c r="AK170" s="111">
        <v>206000</v>
      </c>
      <c r="AL170" s="97">
        <v>2</v>
      </c>
      <c r="AM170" s="20">
        <f t="shared" si="42"/>
        <v>950</v>
      </c>
      <c r="AN170" s="115">
        <f t="shared" si="49"/>
        <v>195700000</v>
      </c>
      <c r="AO170" s="20"/>
    </row>
    <row r="171" spans="7:44">
      <c r="G171" s="205" t="s">
        <v>5490</v>
      </c>
      <c r="H171" s="111">
        <v>10998285</v>
      </c>
      <c r="O171" s="112"/>
      <c r="P171" s="112"/>
      <c r="Q171" s="112"/>
      <c r="R171" s="444" t="s">
        <v>4510</v>
      </c>
      <c r="S171" s="1">
        <f>SUM(N51:N60)</f>
        <v>7389129955</v>
      </c>
      <c r="U171" s="166" t="s">
        <v>4399</v>
      </c>
      <c r="V171" s="54">
        <v>5904</v>
      </c>
      <c r="W171" s="111">
        <v>237.148</v>
      </c>
      <c r="X171" s="111">
        <f t="shared" si="52"/>
        <v>1400121.7919999999</v>
      </c>
      <c r="Y171" s="97" t="s">
        <v>743</v>
      </c>
      <c r="AA171" t="s">
        <v>25</v>
      </c>
      <c r="AI171" s="97">
        <v>151</v>
      </c>
      <c r="AJ171" s="111" t="s">
        <v>4931</v>
      </c>
      <c r="AK171" s="111">
        <v>50000</v>
      </c>
      <c r="AL171" s="97">
        <v>2</v>
      </c>
      <c r="AM171" s="20">
        <f t="shared" si="42"/>
        <v>948</v>
      </c>
      <c r="AN171" s="115">
        <f t="shared" si="49"/>
        <v>47400000</v>
      </c>
      <c r="AO171" s="20"/>
    </row>
    <row r="172" spans="7:44">
      <c r="G172" s="205" t="s">
        <v>5491</v>
      </c>
      <c r="H172" s="111">
        <v>983018.96187300002</v>
      </c>
      <c r="O172" s="112"/>
      <c r="P172" s="112"/>
      <c r="Q172" s="112"/>
      <c r="R172" s="32" t="s">
        <v>4408</v>
      </c>
      <c r="S172" s="1">
        <f>SUM(N32:N37)</f>
        <v>4084873563</v>
      </c>
      <c r="U172" s="166" t="s">
        <v>4205</v>
      </c>
      <c r="V172" s="166">
        <v>1000</v>
      </c>
      <c r="W172" s="111">
        <v>247.393</v>
      </c>
      <c r="X172" s="111">
        <f t="shared" si="52"/>
        <v>247393</v>
      </c>
      <c r="Y172" s="97" t="s">
        <v>743</v>
      </c>
      <c r="Z172" t="s">
        <v>25</v>
      </c>
      <c r="AI172" s="97">
        <v>152</v>
      </c>
      <c r="AJ172" s="111" t="s">
        <v>4935</v>
      </c>
      <c r="AK172" s="111">
        <v>105000</v>
      </c>
      <c r="AL172" s="97">
        <v>4</v>
      </c>
      <c r="AM172" s="20">
        <f t="shared" si="42"/>
        <v>946</v>
      </c>
      <c r="AN172" s="115">
        <f t="shared" si="49"/>
        <v>99330000</v>
      </c>
      <c r="AO172" s="20"/>
    </row>
    <row r="173" spans="7:44">
      <c r="G173" s="205" t="s">
        <v>5493</v>
      </c>
      <c r="H173" s="111">
        <v>17049271.032000002</v>
      </c>
      <c r="I173" s="94"/>
      <c r="O173" s="112"/>
      <c r="P173" s="112"/>
      <c r="Q173" s="112"/>
      <c r="R173" s="32" t="s">
        <v>4409</v>
      </c>
      <c r="S173" s="1">
        <f>SUM(N40:N41)</f>
        <v>490435272</v>
      </c>
      <c r="U173" s="328" t="s">
        <v>4443</v>
      </c>
      <c r="V173" s="328">
        <v>8071</v>
      </c>
      <c r="W173" s="90">
        <v>247.797</v>
      </c>
      <c r="X173" s="90">
        <f t="shared" si="52"/>
        <v>1999969.5870000001</v>
      </c>
      <c r="Y173" s="89" t="s">
        <v>4406</v>
      </c>
      <c r="Z173" t="s">
        <v>25</v>
      </c>
      <c r="AI173" s="97">
        <v>153</v>
      </c>
      <c r="AJ173" s="111" t="s">
        <v>4939</v>
      </c>
      <c r="AK173" s="111">
        <v>5000000</v>
      </c>
      <c r="AL173" s="97">
        <v>1</v>
      </c>
      <c r="AM173" s="20">
        <f t="shared" si="42"/>
        <v>942</v>
      </c>
      <c r="AN173" s="115">
        <f t="shared" si="49"/>
        <v>4710000000</v>
      </c>
      <c r="AO173" s="20"/>
    </row>
    <row r="174" spans="7:44">
      <c r="G174" s="205" t="s">
        <v>5496</v>
      </c>
      <c r="H174" s="111">
        <v>6829998</v>
      </c>
      <c r="I174" s="94"/>
      <c r="P174" s="112"/>
      <c r="Q174" s="112"/>
      <c r="R174" s="32" t="s">
        <v>4410</v>
      </c>
      <c r="S174" s="1">
        <f>N50</f>
        <v>147</v>
      </c>
      <c r="U174" s="166" t="s">
        <v>4443</v>
      </c>
      <c r="V174" s="166">
        <v>53672</v>
      </c>
      <c r="W174" s="111">
        <v>247.797</v>
      </c>
      <c r="X174" s="111">
        <f t="shared" si="52"/>
        <v>13299760.584000001</v>
      </c>
      <c r="Y174" s="97" t="s">
        <v>452</v>
      </c>
      <c r="Z174" t="s">
        <v>25</v>
      </c>
      <c r="AI174" s="97">
        <v>154</v>
      </c>
      <c r="AJ174" s="111" t="s">
        <v>4940</v>
      </c>
      <c r="AK174" s="111">
        <v>2500000</v>
      </c>
      <c r="AL174" s="97">
        <v>2</v>
      </c>
      <c r="AM174" s="20">
        <f t="shared" si="42"/>
        <v>941</v>
      </c>
      <c r="AN174" s="115">
        <f t="shared" si="49"/>
        <v>2352500000</v>
      </c>
      <c r="AO174" s="20"/>
    </row>
    <row r="175" spans="7:44">
      <c r="G175" s="205" t="s">
        <v>4209</v>
      </c>
      <c r="H175" s="111">
        <v>6982608.8207999999</v>
      </c>
      <c r="I175" s="94"/>
      <c r="O175" s="112"/>
      <c r="P175" s="112"/>
      <c r="Q175" s="112"/>
      <c r="R175" s="32" t="s">
        <v>4411</v>
      </c>
      <c r="S175" s="1">
        <f>N31</f>
        <v>200000000</v>
      </c>
      <c r="U175" s="328" t="s">
        <v>4451</v>
      </c>
      <c r="V175" s="328">
        <v>4099</v>
      </c>
      <c r="W175" s="90">
        <v>243.93</v>
      </c>
      <c r="X175" s="90">
        <f t="shared" si="52"/>
        <v>999869.07000000007</v>
      </c>
      <c r="Y175" s="89" t="s">
        <v>4406</v>
      </c>
      <c r="AB175" t="s">
        <v>25</v>
      </c>
      <c r="AI175" s="247">
        <v>155</v>
      </c>
      <c r="AJ175" s="243" t="s">
        <v>4946</v>
      </c>
      <c r="AK175" s="243">
        <v>-50000000</v>
      </c>
      <c r="AL175" s="247">
        <v>7</v>
      </c>
      <c r="AM175" s="247">
        <f t="shared" si="42"/>
        <v>939</v>
      </c>
      <c r="AN175" s="243">
        <f t="shared" si="49"/>
        <v>-46950000000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52"/>
        <v>2268792.9300000002</v>
      </c>
      <c r="Y176" s="97" t="s">
        <v>452</v>
      </c>
      <c r="AA176" t="s">
        <v>25</v>
      </c>
      <c r="AI176" s="97">
        <v>156</v>
      </c>
      <c r="AJ176" s="111" t="s">
        <v>4952</v>
      </c>
      <c r="AK176" s="111">
        <v>10000000</v>
      </c>
      <c r="AL176" s="97">
        <v>12</v>
      </c>
      <c r="AM176" s="20">
        <f t="shared" si="42"/>
        <v>932</v>
      </c>
      <c r="AN176" s="115">
        <f t="shared" si="49"/>
        <v>9320000000</v>
      </c>
      <c r="AO176" s="20" t="s">
        <v>4669</v>
      </c>
    </row>
    <row r="177" spans="5:44">
      <c r="G177" s="205" t="s">
        <v>5522</v>
      </c>
      <c r="H177" s="111">
        <v>10397191</v>
      </c>
      <c r="J177" t="s">
        <v>25</v>
      </c>
      <c r="P177" s="112"/>
      <c r="Q177" s="112"/>
      <c r="R177" s="32" t="s">
        <v>5042</v>
      </c>
      <c r="S177" s="1">
        <v>0</v>
      </c>
      <c r="T177" t="s">
        <v>25</v>
      </c>
      <c r="U177" s="328" t="s">
        <v>4455</v>
      </c>
      <c r="V177" s="328">
        <v>8334</v>
      </c>
      <c r="W177" s="90">
        <v>239.97</v>
      </c>
      <c r="X177" s="90">
        <f t="shared" si="52"/>
        <v>1999909.98</v>
      </c>
      <c r="Y177" s="89" t="s">
        <v>4406</v>
      </c>
      <c r="AI177" s="97">
        <v>157</v>
      </c>
      <c r="AJ177" s="111" t="s">
        <v>4959</v>
      </c>
      <c r="AK177" s="111">
        <v>-16266000</v>
      </c>
      <c r="AL177" s="97">
        <v>1</v>
      </c>
      <c r="AM177" s="20">
        <f t="shared" si="42"/>
        <v>920</v>
      </c>
      <c r="AN177" s="115">
        <f t="shared" si="49"/>
        <v>-14964720000</v>
      </c>
      <c r="AO177" s="20" t="s">
        <v>4967</v>
      </c>
      <c r="AR177" t="s">
        <v>25</v>
      </c>
    </row>
    <row r="178" spans="5:44">
      <c r="G178" s="205" t="s">
        <v>5531</v>
      </c>
      <c r="H178" s="111">
        <v>195059.35799999998</v>
      </c>
      <c r="J178" t="s">
        <v>25</v>
      </c>
      <c r="Q178" s="112"/>
      <c r="R178" s="32" t="s">
        <v>6849</v>
      </c>
      <c r="S178" s="1">
        <v>-1569</v>
      </c>
      <c r="U178" s="166" t="s">
        <v>4204</v>
      </c>
      <c r="V178" s="166">
        <v>29041</v>
      </c>
      <c r="W178" s="111">
        <v>233.45</v>
      </c>
      <c r="X178" s="111">
        <f t="shared" si="52"/>
        <v>6779621.4499999993</v>
      </c>
      <c r="Y178" s="97" t="s">
        <v>743</v>
      </c>
      <c r="Z178" s="120" t="s">
        <v>25</v>
      </c>
      <c r="AI178" s="97">
        <v>158</v>
      </c>
      <c r="AJ178" s="111" t="s">
        <v>4968</v>
      </c>
      <c r="AK178" s="111">
        <v>1000000</v>
      </c>
      <c r="AL178" s="97">
        <v>6</v>
      </c>
      <c r="AM178" s="20">
        <f>AM179+AL178</f>
        <v>919</v>
      </c>
      <c r="AN178" s="115">
        <f>AK178*AM178</f>
        <v>919000000</v>
      </c>
      <c r="AO178" s="20"/>
    </row>
    <row r="179" spans="5:44">
      <c r="G179" s="205" t="s">
        <v>5536</v>
      </c>
      <c r="H179" s="111">
        <v>744082</v>
      </c>
      <c r="P179" s="112"/>
      <c r="Q179" s="112"/>
      <c r="R179" s="32" t="s">
        <v>6924</v>
      </c>
      <c r="S179" s="1">
        <v>-1636447</v>
      </c>
      <c r="T179" s="94"/>
      <c r="U179" s="328" t="s">
        <v>977</v>
      </c>
      <c r="V179" s="328">
        <v>12337</v>
      </c>
      <c r="W179" s="90">
        <v>243.16300000000001</v>
      </c>
      <c r="X179" s="90">
        <f t="shared" si="52"/>
        <v>2999901.9310000003</v>
      </c>
      <c r="Y179" s="89" t="s">
        <v>4406</v>
      </c>
      <c r="AI179" s="97">
        <v>159</v>
      </c>
      <c r="AJ179" s="111" t="s">
        <v>4976</v>
      </c>
      <c r="AK179" s="111">
        <v>40000</v>
      </c>
      <c r="AL179" s="97">
        <v>5</v>
      </c>
      <c r="AM179" s="20">
        <f>AM180+AL179</f>
        <v>913</v>
      </c>
      <c r="AN179" s="115">
        <f>AK179*AM179</f>
        <v>36520000</v>
      </c>
      <c r="AO179" s="20"/>
    </row>
    <row r="180" spans="5:44">
      <c r="G180" s="205" t="s">
        <v>5538</v>
      </c>
      <c r="H180" s="111">
        <v>920308.446</v>
      </c>
      <c r="K180" t="s">
        <v>25</v>
      </c>
      <c r="P180" s="112"/>
      <c r="Q180" s="112"/>
      <c r="R180" s="32" t="s">
        <v>6867</v>
      </c>
      <c r="S180" s="1">
        <f>-(8479*P51)</f>
        <v>-12167365</v>
      </c>
      <c r="T180" s="94"/>
      <c r="U180" s="166" t="s">
        <v>4528</v>
      </c>
      <c r="V180" s="166">
        <v>-16118</v>
      </c>
      <c r="W180" s="111">
        <v>248.17</v>
      </c>
      <c r="X180" s="111">
        <f t="shared" si="52"/>
        <v>-4000004.0599999996</v>
      </c>
      <c r="Y180" s="97" t="s">
        <v>743</v>
      </c>
      <c r="Z180" t="s">
        <v>25</v>
      </c>
      <c r="AI180" s="97">
        <v>160</v>
      </c>
      <c r="AJ180" s="111" t="s">
        <v>4984</v>
      </c>
      <c r="AK180" s="111">
        <v>120000</v>
      </c>
      <c r="AL180" s="97">
        <v>6</v>
      </c>
      <c r="AM180" s="20">
        <f>AM181+AL180</f>
        <v>908</v>
      </c>
      <c r="AN180" s="115">
        <f>AK180*AM180</f>
        <v>108960000</v>
      </c>
      <c r="AO180" s="20"/>
    </row>
    <row r="181" spans="5:44">
      <c r="G181" s="205" t="s">
        <v>5539</v>
      </c>
      <c r="H181" s="111">
        <v>4635809.8416840006</v>
      </c>
      <c r="J181" t="s">
        <v>25</v>
      </c>
      <c r="P181" s="112"/>
      <c r="Q181" s="112"/>
      <c r="R181" s="32"/>
      <c r="S181" s="1"/>
      <c r="T181" s="435"/>
      <c r="U181" s="166" t="s">
        <v>4549</v>
      </c>
      <c r="V181" s="166">
        <v>101681</v>
      </c>
      <c r="W181" s="111">
        <v>246.5711</v>
      </c>
      <c r="X181" s="111">
        <f t="shared" si="52"/>
        <v>25071596.019099999</v>
      </c>
      <c r="Y181" s="97" t="s">
        <v>452</v>
      </c>
      <c r="AI181" s="97">
        <v>161</v>
      </c>
      <c r="AJ181" s="111" t="s">
        <v>4981</v>
      </c>
      <c r="AK181" s="111">
        <v>249000</v>
      </c>
      <c r="AL181" s="97">
        <v>9</v>
      </c>
      <c r="AM181" s="20">
        <f>AM182+AL181</f>
        <v>902</v>
      </c>
      <c r="AN181" s="115">
        <f>AK181*AM181</f>
        <v>224598000</v>
      </c>
      <c r="AO181" s="20"/>
    </row>
    <row r="182" spans="5:44">
      <c r="E182" t="s">
        <v>25</v>
      </c>
      <c r="G182" s="205" t="s">
        <v>5568</v>
      </c>
      <c r="H182" s="111">
        <v>58508002.009000003</v>
      </c>
      <c r="J182" t="s">
        <v>25</v>
      </c>
      <c r="P182" s="112"/>
      <c r="Q182" s="112"/>
      <c r="R182" s="32"/>
      <c r="S182" s="1"/>
      <c r="T182" s="435"/>
      <c r="U182" s="166" t="s">
        <v>4553</v>
      </c>
      <c r="V182" s="166">
        <v>66606</v>
      </c>
      <c r="W182" s="111">
        <v>251.131</v>
      </c>
      <c r="X182" s="111">
        <f t="shared" si="52"/>
        <v>16726831.386</v>
      </c>
      <c r="Y182" s="97" t="s">
        <v>743</v>
      </c>
      <c r="AI182" s="97">
        <v>162</v>
      </c>
      <c r="AJ182" s="111" t="s">
        <v>5006</v>
      </c>
      <c r="AK182" s="111">
        <v>65000</v>
      </c>
      <c r="AL182" s="97">
        <v>7</v>
      </c>
      <c r="AM182" s="20">
        <f>AM183+AL182</f>
        <v>893</v>
      </c>
      <c r="AN182" s="115">
        <f>AK182*AM182</f>
        <v>58045000</v>
      </c>
      <c r="AO182" s="20"/>
    </row>
    <row r="183" spans="5:44">
      <c r="G183" s="205" t="s">
        <v>5570</v>
      </c>
      <c r="H183" s="111">
        <v>2245515.5410799999</v>
      </c>
      <c r="P183" s="112"/>
      <c r="Q183" s="112"/>
      <c r="R183" s="444"/>
      <c r="S183" s="1"/>
      <c r="T183" s="113" t="s">
        <v>25</v>
      </c>
      <c r="U183" s="166" t="s">
        <v>4558</v>
      </c>
      <c r="V183" s="166">
        <v>172025</v>
      </c>
      <c r="W183" s="111">
        <v>245.52809999999999</v>
      </c>
      <c r="X183" s="111">
        <f t="shared" si="52"/>
        <v>42236971.402499996</v>
      </c>
      <c r="Y183" s="97" t="s">
        <v>452</v>
      </c>
      <c r="AI183" s="97">
        <v>163</v>
      </c>
      <c r="AJ183" s="111" t="s">
        <v>5015</v>
      </c>
      <c r="AK183" s="111">
        <v>-312598</v>
      </c>
      <c r="AL183" s="97">
        <v>0</v>
      </c>
      <c r="AM183" s="20">
        <f t="shared" ref="AM183:AM190" si="53">AM184+AL183</f>
        <v>886</v>
      </c>
      <c r="AN183" s="115">
        <f t="shared" ref="AN183:AN190" si="54">AK183*AM183</f>
        <v>-276961828</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52"/>
        <v>46460545.778700002</v>
      </c>
      <c r="Y184" s="97" t="s">
        <v>743</v>
      </c>
      <c r="AC184" t="s">
        <v>25</v>
      </c>
      <c r="AI184" s="97">
        <v>164</v>
      </c>
      <c r="AJ184" s="111" t="s">
        <v>5015</v>
      </c>
      <c r="AK184" s="111">
        <v>50000</v>
      </c>
      <c r="AL184" s="97">
        <v>6</v>
      </c>
      <c r="AM184" s="20">
        <f t="shared" si="53"/>
        <v>886</v>
      </c>
      <c r="AN184" s="115">
        <f t="shared" si="54"/>
        <v>44300000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52"/>
        <v>19663480.096000001</v>
      </c>
      <c r="Y185" s="97" t="s">
        <v>452</v>
      </c>
      <c r="Z185" s="8" t="s">
        <v>25</v>
      </c>
      <c r="AA185" t="s">
        <v>25</v>
      </c>
      <c r="AI185" s="97">
        <v>165</v>
      </c>
      <c r="AJ185" s="111" t="s">
        <v>5025</v>
      </c>
      <c r="AK185" s="111">
        <v>-200000</v>
      </c>
      <c r="AL185" s="97">
        <v>0</v>
      </c>
      <c r="AM185" s="20">
        <f t="shared" si="53"/>
        <v>880</v>
      </c>
      <c r="AN185" s="115">
        <f t="shared" si="54"/>
        <v>-176000000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52"/>
        <v>19663480.096000001</v>
      </c>
      <c r="Y186" s="97" t="s">
        <v>743</v>
      </c>
      <c r="AI186" s="97">
        <v>166</v>
      </c>
      <c r="AJ186" s="111" t="s">
        <v>5025</v>
      </c>
      <c r="AK186" s="111">
        <v>200000</v>
      </c>
      <c r="AL186" s="97">
        <v>3</v>
      </c>
      <c r="AM186" s="20">
        <f t="shared" si="53"/>
        <v>880</v>
      </c>
      <c r="AN186" s="115">
        <f t="shared" si="54"/>
        <v>176000000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52"/>
        <v>4374350.7418200001</v>
      </c>
      <c r="Y187" s="97" t="s">
        <v>743</v>
      </c>
      <c r="AI187" s="97">
        <v>167</v>
      </c>
      <c r="AJ187" s="111" t="s">
        <v>5032</v>
      </c>
      <c r="AK187" s="111">
        <v>200000</v>
      </c>
      <c r="AL187" s="97">
        <v>3</v>
      </c>
      <c r="AM187" s="20">
        <f t="shared" si="53"/>
        <v>877</v>
      </c>
      <c r="AN187" s="115">
        <f t="shared" si="54"/>
        <v>175400000</v>
      </c>
      <c r="AO187" s="20"/>
    </row>
    <row r="188" spans="5:44">
      <c r="G188" s="205" t="s">
        <v>5581</v>
      </c>
      <c r="H188" s="111">
        <v>16042676.656608</v>
      </c>
      <c r="O188" s="112"/>
      <c r="P188" s="112"/>
      <c r="Q188" s="112"/>
      <c r="R188" s="32" t="s">
        <v>4416</v>
      </c>
      <c r="S188" s="1">
        <f>SUM(S171:S187)</f>
        <v>12150633725</v>
      </c>
      <c r="U188" s="166" t="s">
        <v>4580</v>
      </c>
      <c r="V188" s="166">
        <v>17769</v>
      </c>
      <c r="W188" s="111">
        <v>246.17877999999999</v>
      </c>
      <c r="X188" s="111">
        <f t="shared" si="52"/>
        <v>4374350.7418200001</v>
      </c>
      <c r="Y188" s="97" t="s">
        <v>452</v>
      </c>
      <c r="AI188" s="97">
        <v>168</v>
      </c>
      <c r="AJ188" s="111" t="s">
        <v>5035</v>
      </c>
      <c r="AK188" s="111">
        <v>30000</v>
      </c>
      <c r="AL188" s="97">
        <v>7</v>
      </c>
      <c r="AM188" s="20">
        <f t="shared" si="53"/>
        <v>874</v>
      </c>
      <c r="AN188" s="115">
        <f t="shared" si="54"/>
        <v>26220000</v>
      </c>
      <c r="AO188" s="20"/>
    </row>
    <row r="189" spans="5:44">
      <c r="G189" s="205" t="s">
        <v>5582</v>
      </c>
      <c r="H189" s="111">
        <v>18403291.448284</v>
      </c>
      <c r="O189" t="s">
        <v>25</v>
      </c>
      <c r="P189" s="112"/>
      <c r="Q189" s="112"/>
      <c r="R189" s="94"/>
      <c r="U189" s="328" t="s">
        <v>4582</v>
      </c>
      <c r="V189" s="328">
        <v>12438</v>
      </c>
      <c r="W189" s="90">
        <v>241.20465999999999</v>
      </c>
      <c r="X189" s="90">
        <f t="shared" si="52"/>
        <v>3000103.5610799999</v>
      </c>
      <c r="Y189" s="89" t="s">
        <v>4406</v>
      </c>
      <c r="AI189" s="97">
        <v>169</v>
      </c>
      <c r="AJ189" s="111" t="s">
        <v>4994</v>
      </c>
      <c r="AK189" s="111">
        <v>-10000000</v>
      </c>
      <c r="AL189" s="97">
        <v>0</v>
      </c>
      <c r="AM189" s="20">
        <f t="shared" si="53"/>
        <v>867</v>
      </c>
      <c r="AN189" s="115">
        <f t="shared" si="54"/>
        <v>-8670000000</v>
      </c>
      <c r="AO189" s="20" t="s">
        <v>4954</v>
      </c>
    </row>
    <row r="190" spans="5:44">
      <c r="G190" s="205" t="s">
        <v>5585</v>
      </c>
      <c r="H190" s="111">
        <v>10561447.246918</v>
      </c>
      <c r="P190" s="112"/>
      <c r="Q190" s="112"/>
      <c r="U190" s="166" t="s">
        <v>4591</v>
      </c>
      <c r="V190" s="166">
        <v>27363</v>
      </c>
      <c r="W190" s="111">
        <v>239.3886</v>
      </c>
      <c r="X190" s="111">
        <f t="shared" si="52"/>
        <v>6550390.2617999995</v>
      </c>
      <c r="Y190" s="97" t="s">
        <v>743</v>
      </c>
      <c r="AI190" s="97">
        <v>170</v>
      </c>
      <c r="AJ190" s="111" t="s">
        <v>4994</v>
      </c>
      <c r="AK190" s="111">
        <v>6000000</v>
      </c>
      <c r="AL190" s="97">
        <v>8</v>
      </c>
      <c r="AM190" s="20">
        <f t="shared" si="53"/>
        <v>867</v>
      </c>
      <c r="AN190" s="115">
        <f t="shared" si="54"/>
        <v>5202000000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52"/>
        <v>6550390.2617999995</v>
      </c>
      <c r="Y191" s="97" t="s">
        <v>452</v>
      </c>
      <c r="AI191" s="97">
        <v>171</v>
      </c>
      <c r="AJ191" s="111" t="s">
        <v>5059</v>
      </c>
      <c r="AK191" s="111">
        <v>150000</v>
      </c>
      <c r="AL191" s="97">
        <v>7</v>
      </c>
      <c r="AM191" s="20">
        <f>AM192+AL191</f>
        <v>859</v>
      </c>
      <c r="AN191" s="115">
        <f>AK191*AM191</f>
        <v>128850000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52"/>
        <v>6650769.9555000002</v>
      </c>
      <c r="Y192" s="97" t="s">
        <v>743</v>
      </c>
      <c r="AI192" s="97">
        <v>172</v>
      </c>
      <c r="AJ192" s="111" t="s">
        <v>5092</v>
      </c>
      <c r="AK192" s="111">
        <v>400000</v>
      </c>
      <c r="AL192" s="97">
        <v>1</v>
      </c>
      <c r="AM192" s="20">
        <f>AM193+AL192</f>
        <v>852</v>
      </c>
      <c r="AN192" s="115">
        <f>AK192*AM192</f>
        <v>340800000</v>
      </c>
      <c r="AO192" s="20"/>
    </row>
    <row r="193" spans="7:46">
      <c r="G193" s="205" t="s">
        <v>5592</v>
      </c>
      <c r="H193" s="111">
        <v>27703487.063980002</v>
      </c>
      <c r="P193" s="112"/>
      <c r="R193" s="205"/>
      <c r="S193" s="205" t="s">
        <v>4399</v>
      </c>
      <c r="T193" s="111">
        <v>3000000</v>
      </c>
      <c r="U193" s="203" t="s">
        <v>4593</v>
      </c>
      <c r="V193" s="203">
        <v>29104</v>
      </c>
      <c r="W193" s="111">
        <v>242.4015</v>
      </c>
      <c r="X193" s="111">
        <f t="shared" si="52"/>
        <v>7054853.2560000001</v>
      </c>
      <c r="Y193" s="97" t="s">
        <v>452</v>
      </c>
      <c r="AI193" s="97">
        <v>173</v>
      </c>
      <c r="AJ193" s="111" t="s">
        <v>5095</v>
      </c>
      <c r="AK193" s="111">
        <v>-100000</v>
      </c>
      <c r="AL193" s="97">
        <v>1</v>
      </c>
      <c r="AM193" s="20">
        <f>AM194+AL193</f>
        <v>851</v>
      </c>
      <c r="AN193" s="115">
        <f>AK193*AM193</f>
        <v>-85100000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52"/>
        <v>2145690.19197</v>
      </c>
      <c r="Y194" s="97" t="s">
        <v>743</v>
      </c>
      <c r="AI194" s="97">
        <v>174</v>
      </c>
      <c r="AJ194" s="111" t="s">
        <v>5099</v>
      </c>
      <c r="AK194" s="111">
        <v>10000000</v>
      </c>
      <c r="AL194" s="97">
        <v>1</v>
      </c>
      <c r="AM194" s="20">
        <f>AM195+AL194</f>
        <v>850</v>
      </c>
      <c r="AN194" s="115">
        <f>AK194*AM194</f>
        <v>8500000000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2"/>
        <v>2145690.19197</v>
      </c>
      <c r="Y195" s="97" t="s">
        <v>452</v>
      </c>
      <c r="AI195" s="97">
        <v>175</v>
      </c>
      <c r="AJ195" s="111" t="s">
        <v>5104</v>
      </c>
      <c r="AK195" s="111">
        <v>-400000</v>
      </c>
      <c r="AL195" s="97">
        <v>6</v>
      </c>
      <c r="AM195" s="20">
        <f t="shared" ref="AM195:AM203" si="55">AM196+AL195</f>
        <v>849</v>
      </c>
      <c r="AN195" s="115">
        <f t="shared" ref="AN195:AN203" si="56">AK195*AM195</f>
        <v>-339600000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52"/>
        <v>4369608.0892000003</v>
      </c>
      <c r="Y196" s="97" t="s">
        <v>743</v>
      </c>
      <c r="AI196" s="97">
        <v>176</v>
      </c>
      <c r="AJ196" s="111" t="s">
        <v>5111</v>
      </c>
      <c r="AK196" s="111">
        <v>1300000</v>
      </c>
      <c r="AL196" s="97">
        <v>0</v>
      </c>
      <c r="AM196" s="20">
        <f t="shared" si="55"/>
        <v>843</v>
      </c>
      <c r="AN196" s="115">
        <f t="shared" si="56"/>
        <v>1095900000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52"/>
        <v>4369608.0892000003</v>
      </c>
      <c r="Y197" s="97" t="s">
        <v>452</v>
      </c>
      <c r="AI197" s="97">
        <v>177</v>
      </c>
      <c r="AJ197" s="111" t="s">
        <v>5111</v>
      </c>
      <c r="AK197" s="111">
        <v>230000</v>
      </c>
      <c r="AL197" s="97">
        <v>1</v>
      </c>
      <c r="AM197" s="20">
        <f t="shared" si="55"/>
        <v>843</v>
      </c>
      <c r="AN197" s="115">
        <f t="shared" si="56"/>
        <v>193890000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52"/>
        <v>8797507.7134000007</v>
      </c>
      <c r="Y198" s="97" t="s">
        <v>743</v>
      </c>
      <c r="AI198" s="97">
        <v>178</v>
      </c>
      <c r="AJ198" s="111" t="s">
        <v>5114</v>
      </c>
      <c r="AK198" s="111">
        <v>880000</v>
      </c>
      <c r="AL198" s="97">
        <v>4</v>
      </c>
      <c r="AM198" s="20">
        <f t="shared" si="55"/>
        <v>842</v>
      </c>
      <c r="AN198" s="115">
        <f t="shared" si="56"/>
        <v>740960000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52"/>
        <v>8797507.7134000007</v>
      </c>
      <c r="Y199" s="97" t="s">
        <v>452</v>
      </c>
      <c r="AA199" t="s">
        <v>25</v>
      </c>
      <c r="AI199" s="97">
        <v>179</v>
      </c>
      <c r="AJ199" s="111" t="s">
        <v>5118</v>
      </c>
      <c r="AK199" s="111">
        <v>-900000</v>
      </c>
      <c r="AL199" s="97">
        <v>1</v>
      </c>
      <c r="AM199" s="20">
        <f t="shared" si="55"/>
        <v>838</v>
      </c>
      <c r="AN199" s="115">
        <f t="shared" si="56"/>
        <v>-754200000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52"/>
        <v>6667631.2002000008</v>
      </c>
      <c r="Y200" s="97" t="s">
        <v>743</v>
      </c>
      <c r="AI200" s="97">
        <v>180</v>
      </c>
      <c r="AJ200" s="111" t="s">
        <v>975</v>
      </c>
      <c r="AK200" s="111">
        <v>-3500000</v>
      </c>
      <c r="AL200" s="97">
        <v>1</v>
      </c>
      <c r="AM200" s="20">
        <f t="shared" si="55"/>
        <v>837</v>
      </c>
      <c r="AN200" s="115">
        <f t="shared" si="56"/>
        <v>-2929500000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52"/>
        <v>6667631.2002000008</v>
      </c>
      <c r="Y201" s="97" t="s">
        <v>452</v>
      </c>
      <c r="Z201" t="s">
        <v>25</v>
      </c>
      <c r="AI201" s="97">
        <v>181</v>
      </c>
      <c r="AJ201" s="111" t="s">
        <v>4253</v>
      </c>
      <c r="AK201" s="111">
        <v>-1600000</v>
      </c>
      <c r="AL201" s="97">
        <v>1</v>
      </c>
      <c r="AM201" s="20">
        <f t="shared" si="55"/>
        <v>836</v>
      </c>
      <c r="AN201" s="115">
        <f t="shared" si="56"/>
        <v>-1337600000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52"/>
        <v>8981064.8900000006</v>
      </c>
      <c r="Y202" s="97" t="s">
        <v>743</v>
      </c>
      <c r="AI202" s="97">
        <v>182</v>
      </c>
      <c r="AJ202" s="111" t="s">
        <v>5123</v>
      </c>
      <c r="AK202" s="111">
        <v>-800000</v>
      </c>
      <c r="AL202" s="97">
        <v>7</v>
      </c>
      <c r="AM202" s="20">
        <f t="shared" si="55"/>
        <v>835</v>
      </c>
      <c r="AN202" s="115">
        <f t="shared" si="56"/>
        <v>-668000000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52"/>
        <v>8981064.8900000006</v>
      </c>
      <c r="Y203" s="97" t="s">
        <v>452</v>
      </c>
      <c r="Z203" s="94" t="s">
        <v>25</v>
      </c>
      <c r="AI203" s="97">
        <v>183</v>
      </c>
      <c r="AJ203" s="111" t="s">
        <v>5131</v>
      </c>
      <c r="AK203" s="111">
        <v>50000</v>
      </c>
      <c r="AL203" s="97">
        <v>2</v>
      </c>
      <c r="AM203" s="20">
        <f t="shared" si="55"/>
        <v>828</v>
      </c>
      <c r="AN203" s="115">
        <f t="shared" si="56"/>
        <v>41400000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52"/>
        <v>9181620.3599999994</v>
      </c>
      <c r="Y204" s="97" t="s">
        <v>743</v>
      </c>
      <c r="Z204" t="s">
        <v>25</v>
      </c>
      <c r="AI204" s="97">
        <v>184</v>
      </c>
      <c r="AJ204" s="111" t="s">
        <v>5133</v>
      </c>
      <c r="AK204" s="111">
        <v>400000</v>
      </c>
      <c r="AL204" s="97">
        <v>8</v>
      </c>
      <c r="AM204" s="20">
        <f t="shared" ref="AM204:AM213" si="57">AM205+AL204</f>
        <v>826</v>
      </c>
      <c r="AN204" s="115">
        <f t="shared" ref="AN204:AN213" si="58">AK204*AM204</f>
        <v>330400000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52"/>
        <v>9181620.3599999994</v>
      </c>
      <c r="Y205" s="97" t="s">
        <v>452</v>
      </c>
      <c r="AI205" s="97">
        <v>185</v>
      </c>
      <c r="AJ205" s="111" t="s">
        <v>5109</v>
      </c>
      <c r="AK205" s="111">
        <v>-10000000</v>
      </c>
      <c r="AL205" s="97">
        <v>0</v>
      </c>
      <c r="AM205" s="20">
        <f t="shared" si="57"/>
        <v>818</v>
      </c>
      <c r="AN205" s="115">
        <f t="shared" si="58"/>
        <v>-8180000000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52"/>
        <v>11811186.475</v>
      </c>
      <c r="Y206" s="97" t="s">
        <v>743</v>
      </c>
      <c r="AI206" s="97">
        <v>186</v>
      </c>
      <c r="AJ206" s="111" t="s">
        <v>5109</v>
      </c>
      <c r="AK206" s="111">
        <v>3000000</v>
      </c>
      <c r="AL206" s="97">
        <v>1</v>
      </c>
      <c r="AM206" s="20">
        <f t="shared" si="57"/>
        <v>818</v>
      </c>
      <c r="AN206" s="115">
        <f t="shared" si="58"/>
        <v>2454000000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52"/>
        <v>11811186.475</v>
      </c>
      <c r="Y207" s="97" t="s">
        <v>452</v>
      </c>
      <c r="AI207" s="97">
        <v>187</v>
      </c>
      <c r="AJ207" s="111" t="s">
        <v>5145</v>
      </c>
      <c r="AK207" s="111">
        <v>500000</v>
      </c>
      <c r="AL207" s="97">
        <v>23</v>
      </c>
      <c r="AM207" s="20">
        <f t="shared" si="57"/>
        <v>817</v>
      </c>
      <c r="AN207" s="115">
        <f t="shared" si="58"/>
        <v>408500000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52"/>
        <v>41247832.126000002</v>
      </c>
      <c r="Y208" s="97" t="s">
        <v>743</v>
      </c>
      <c r="Z208" t="s">
        <v>25</v>
      </c>
      <c r="AI208" s="97">
        <v>188</v>
      </c>
      <c r="AJ208" s="111" t="s">
        <v>5166</v>
      </c>
      <c r="AK208" s="111">
        <v>101268</v>
      </c>
      <c r="AL208" s="97">
        <v>1</v>
      </c>
      <c r="AM208" s="20">
        <f t="shared" si="57"/>
        <v>794</v>
      </c>
      <c r="AN208" s="115">
        <f t="shared" si="58"/>
        <v>80406792</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52"/>
        <v>41247832.126000002</v>
      </c>
      <c r="Y209" s="97" t="s">
        <v>452</v>
      </c>
      <c r="AB209" t="s">
        <v>25</v>
      </c>
      <c r="AI209" s="97">
        <v>189</v>
      </c>
      <c r="AJ209" s="111" t="s">
        <v>5169</v>
      </c>
      <c r="AK209" s="111">
        <v>101000</v>
      </c>
      <c r="AL209" s="97">
        <v>34</v>
      </c>
      <c r="AM209" s="20">
        <f t="shared" si="57"/>
        <v>793</v>
      </c>
      <c r="AN209" s="115">
        <f t="shared" si="58"/>
        <v>80093000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52"/>
        <v>37328539.346100003</v>
      </c>
      <c r="Y210" s="97" t="s">
        <v>743</v>
      </c>
      <c r="AA210" t="s">
        <v>25</v>
      </c>
      <c r="AI210" s="97">
        <v>190</v>
      </c>
      <c r="AJ210" s="111" t="s">
        <v>5194</v>
      </c>
      <c r="AK210" s="111">
        <v>-488602</v>
      </c>
      <c r="AL210" s="97">
        <v>5</v>
      </c>
      <c r="AM210" s="20">
        <f t="shared" si="57"/>
        <v>759</v>
      </c>
      <c r="AN210" s="115">
        <f t="shared" si="58"/>
        <v>-370848918</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52"/>
        <v>37328539.346100003</v>
      </c>
      <c r="Y211" s="97" t="s">
        <v>452</v>
      </c>
      <c r="AI211" s="97">
        <v>191</v>
      </c>
      <c r="AJ211" s="111" t="s">
        <v>5208</v>
      </c>
      <c r="AK211" s="111">
        <v>360000</v>
      </c>
      <c r="AL211" s="97">
        <v>10</v>
      </c>
      <c r="AM211" s="20">
        <f t="shared" si="57"/>
        <v>754</v>
      </c>
      <c r="AN211" s="115">
        <f t="shared" si="58"/>
        <v>271440000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52"/>
        <v>49999818</v>
      </c>
      <c r="Y212" s="97" t="s">
        <v>4670</v>
      </c>
      <c r="Z212" t="s">
        <v>25</v>
      </c>
      <c r="AI212" s="97">
        <v>192</v>
      </c>
      <c r="AJ212" s="111" t="s">
        <v>5218</v>
      </c>
      <c r="AK212" s="111">
        <v>-3600000</v>
      </c>
      <c r="AL212" s="97">
        <v>4</v>
      </c>
      <c r="AM212" s="20">
        <f t="shared" si="57"/>
        <v>744</v>
      </c>
      <c r="AN212" s="115">
        <f t="shared" si="58"/>
        <v>-2678400000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52"/>
        <v>651866.696</v>
      </c>
      <c r="Y213" s="97" t="s">
        <v>4671</v>
      </c>
      <c r="AI213" s="97">
        <v>193</v>
      </c>
      <c r="AJ213" s="111" t="s">
        <v>5224</v>
      </c>
      <c r="AK213" s="111">
        <v>-1000000</v>
      </c>
      <c r="AL213" s="97">
        <v>5</v>
      </c>
      <c r="AM213" s="20">
        <f t="shared" si="57"/>
        <v>740</v>
      </c>
      <c r="AN213" s="115">
        <f t="shared" si="58"/>
        <v>-740000000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52"/>
        <v>-2999869.5300000003</v>
      </c>
      <c r="Y214" s="97" t="s">
        <v>4711</v>
      </c>
      <c r="AB214" t="s">
        <v>25</v>
      </c>
      <c r="AI214" s="97">
        <v>194</v>
      </c>
      <c r="AJ214" s="111" t="s">
        <v>5229</v>
      </c>
      <c r="AK214" s="111">
        <v>360000</v>
      </c>
      <c r="AL214" s="97">
        <v>2</v>
      </c>
      <c r="AM214" s="20">
        <f t="shared" ref="AM214:AM278" si="59">AM215+AL214</f>
        <v>735</v>
      </c>
      <c r="AN214" s="115">
        <f t="shared" ref="AN214:AN278" si="60">AK214*AM214</f>
        <v>264600000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52"/>
        <v>2999869.5300000003</v>
      </c>
      <c r="Y215" s="97" t="s">
        <v>4712</v>
      </c>
      <c r="AI215" s="97">
        <v>195</v>
      </c>
      <c r="AJ215" s="111" t="s">
        <v>5234</v>
      </c>
      <c r="AK215" s="111">
        <v>2000000</v>
      </c>
      <c r="AL215" s="97">
        <v>1</v>
      </c>
      <c r="AM215" s="20">
        <f t="shared" si="59"/>
        <v>733</v>
      </c>
      <c r="AN215" s="115">
        <f t="shared" si="60"/>
        <v>1466000000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52"/>
        <v>68429.399999999994</v>
      </c>
      <c r="Y216" s="97" t="s">
        <v>452</v>
      </c>
      <c r="AI216" s="97">
        <v>196</v>
      </c>
      <c r="AJ216" s="111" t="s">
        <v>5236</v>
      </c>
      <c r="AK216" s="111">
        <v>20000000</v>
      </c>
      <c r="AL216" s="97">
        <v>0</v>
      </c>
      <c r="AM216" s="20">
        <f t="shared" si="59"/>
        <v>732</v>
      </c>
      <c r="AN216" s="115">
        <f t="shared" si="60"/>
        <v>14640000000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52"/>
        <v>4000235.57626</v>
      </c>
      <c r="Y217" s="97" t="s">
        <v>452</v>
      </c>
      <c r="AI217" s="97">
        <v>197</v>
      </c>
      <c r="AJ217" s="111" t="s">
        <v>5236</v>
      </c>
      <c r="AK217" s="111">
        <v>-4700000</v>
      </c>
      <c r="AL217" s="97">
        <v>1</v>
      </c>
      <c r="AM217" s="20">
        <f t="shared" si="59"/>
        <v>732</v>
      </c>
      <c r="AN217" s="115">
        <f t="shared" si="60"/>
        <v>-3440400000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52"/>
        <v>2249737.4531999999</v>
      </c>
      <c r="Y218" s="97" t="s">
        <v>452</v>
      </c>
      <c r="AI218" s="97">
        <v>198</v>
      </c>
      <c r="AJ218" s="111" t="s">
        <v>5239</v>
      </c>
      <c r="AK218" s="111">
        <v>3000000</v>
      </c>
      <c r="AL218" s="97">
        <v>4</v>
      </c>
      <c r="AM218" s="20">
        <f t="shared" si="59"/>
        <v>731</v>
      </c>
      <c r="AN218" s="115">
        <f t="shared" si="60"/>
        <v>2193000000</v>
      </c>
      <c r="AO218" s="20"/>
      <c r="AT218" t="s">
        <v>25</v>
      </c>
    </row>
    <row r="219" spans="7:47">
      <c r="G219" s="205" t="s">
        <v>5660</v>
      </c>
      <c r="H219" s="111">
        <v>21697868.203256</v>
      </c>
      <c r="Q219" s="112"/>
      <c r="R219" s="187" t="s">
        <v>5348</v>
      </c>
      <c r="S219" s="187" t="s">
        <v>5346</v>
      </c>
      <c r="T219" s="186">
        <v>1896188</v>
      </c>
      <c r="U219" s="328" t="s">
        <v>4738</v>
      </c>
      <c r="V219" s="328">
        <v>-6209</v>
      </c>
      <c r="W219" s="90">
        <v>273.79649999999998</v>
      </c>
      <c r="X219" s="90">
        <f t="shared" si="52"/>
        <v>-1700002.4685</v>
      </c>
      <c r="Y219" s="89" t="s">
        <v>6412</v>
      </c>
      <c r="AI219" s="97">
        <v>199</v>
      </c>
      <c r="AJ219" s="111" t="s">
        <v>5241</v>
      </c>
      <c r="AK219" s="111">
        <v>1500000</v>
      </c>
      <c r="AL219" s="97">
        <v>1</v>
      </c>
      <c r="AM219" s="20">
        <f t="shared" si="59"/>
        <v>727</v>
      </c>
      <c r="AN219" s="115">
        <f t="shared" si="60"/>
        <v>1090500000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52"/>
        <v>-2194205.1510000001</v>
      </c>
      <c r="Y220" s="97" t="s">
        <v>743</v>
      </c>
      <c r="AI220" s="97">
        <v>200</v>
      </c>
      <c r="AJ220" s="111" t="s">
        <v>5243</v>
      </c>
      <c r="AK220" s="111">
        <v>30000000</v>
      </c>
      <c r="AL220" s="97">
        <v>33</v>
      </c>
      <c r="AM220" s="20">
        <f t="shared" si="59"/>
        <v>726</v>
      </c>
      <c r="AN220" s="115">
        <f t="shared" si="60"/>
        <v>21780000000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52"/>
        <v>-2512356.6839999999</v>
      </c>
      <c r="Y221" s="97" t="s">
        <v>452</v>
      </c>
      <c r="AI221" s="97">
        <v>201</v>
      </c>
      <c r="AJ221" s="111" t="s">
        <v>5317</v>
      </c>
      <c r="AK221" s="111">
        <v>3000000</v>
      </c>
      <c r="AL221" s="97">
        <v>1</v>
      </c>
      <c r="AM221" s="20">
        <f t="shared" si="59"/>
        <v>693</v>
      </c>
      <c r="AN221" s="115">
        <f t="shared" si="60"/>
        <v>2079000000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52"/>
        <v>297616.79550000001</v>
      </c>
      <c r="Y222" s="97" t="s">
        <v>452</v>
      </c>
      <c r="AI222" s="97">
        <v>202</v>
      </c>
      <c r="AJ222" s="111" t="s">
        <v>5318</v>
      </c>
      <c r="AK222" s="111">
        <v>7000000</v>
      </c>
      <c r="AL222" s="97">
        <v>4</v>
      </c>
      <c r="AM222" s="20">
        <f t="shared" si="59"/>
        <v>692</v>
      </c>
      <c r="AN222" s="115">
        <f t="shared" si="60"/>
        <v>4844000000</v>
      </c>
      <c r="AO222" s="20"/>
    </row>
    <row r="223" spans="7:47">
      <c r="G223" s="205" t="s">
        <v>5669</v>
      </c>
      <c r="H223" s="111">
        <v>11538335.631417999</v>
      </c>
      <c r="P223" s="112"/>
      <c r="Q223" s="112"/>
      <c r="R223" s="19" t="s">
        <v>4929</v>
      </c>
      <c r="S223" s="19" t="s">
        <v>5596</v>
      </c>
      <c r="T223" s="115">
        <v>-1500000</v>
      </c>
      <c r="U223" s="328" t="s">
        <v>964</v>
      </c>
      <c r="V223" s="328">
        <v>-4017</v>
      </c>
      <c r="W223" s="90">
        <v>273.79649999999998</v>
      </c>
      <c r="X223" s="90">
        <f t="shared" si="52"/>
        <v>-1099840.5404999999</v>
      </c>
      <c r="Y223" s="89" t="s">
        <v>4406</v>
      </c>
      <c r="AI223" s="97">
        <v>203</v>
      </c>
      <c r="AJ223" s="111" t="s">
        <v>5326</v>
      </c>
      <c r="AK223" s="111">
        <v>8800000</v>
      </c>
      <c r="AL223" s="97">
        <v>2</v>
      </c>
      <c r="AM223" s="20">
        <f t="shared" si="59"/>
        <v>688</v>
      </c>
      <c r="AN223" s="115">
        <f t="shared" si="60"/>
        <v>6054400000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52"/>
        <v>1099840.5404999999</v>
      </c>
      <c r="Y224" s="97" t="s">
        <v>452</v>
      </c>
      <c r="AI224" s="97">
        <v>204</v>
      </c>
      <c r="AJ224" s="111" t="s">
        <v>5331</v>
      </c>
      <c r="AK224" s="111">
        <v>40000000</v>
      </c>
      <c r="AL224" s="97">
        <v>8</v>
      </c>
      <c r="AM224" s="20">
        <f t="shared" si="59"/>
        <v>686</v>
      </c>
      <c r="AN224" s="115">
        <f t="shared" si="60"/>
        <v>27440000000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52"/>
        <v>889938.98070000007</v>
      </c>
      <c r="Y225" s="97" t="s">
        <v>452</v>
      </c>
      <c r="Z225" t="s">
        <v>25</v>
      </c>
      <c r="AI225" s="97">
        <v>205</v>
      </c>
      <c r="AJ225" s="111" t="s">
        <v>5346</v>
      </c>
      <c r="AK225" s="111">
        <v>400000</v>
      </c>
      <c r="AL225" s="97">
        <v>17</v>
      </c>
      <c r="AM225" s="20">
        <f t="shared" si="59"/>
        <v>678</v>
      </c>
      <c r="AN225" s="115">
        <f t="shared" si="60"/>
        <v>271200000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52"/>
        <v>29999874.727419998</v>
      </c>
      <c r="Y226" s="97" t="s">
        <v>1069</v>
      </c>
      <c r="Z226" t="s">
        <v>25</v>
      </c>
      <c r="AI226" s="97">
        <v>206</v>
      </c>
      <c r="AJ226" s="111" t="s">
        <v>5366</v>
      </c>
      <c r="AK226" s="111">
        <v>-20000000</v>
      </c>
      <c r="AL226" s="97">
        <v>18</v>
      </c>
      <c r="AM226" s="20">
        <f t="shared" si="59"/>
        <v>661</v>
      </c>
      <c r="AN226" s="115">
        <f t="shared" si="60"/>
        <v>-13220000000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52"/>
        <v>999743.26599999995</v>
      </c>
      <c r="Y227" s="97" t="s">
        <v>452</v>
      </c>
      <c r="AI227" s="97">
        <v>207</v>
      </c>
      <c r="AJ227" s="111" t="s">
        <v>5380</v>
      </c>
      <c r="AK227" s="111">
        <v>3006000</v>
      </c>
      <c r="AL227" s="97">
        <v>19</v>
      </c>
      <c r="AM227" s="20">
        <f t="shared" si="59"/>
        <v>643</v>
      </c>
      <c r="AN227" s="115">
        <f t="shared" si="60"/>
        <v>1932858000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52"/>
        <v>20193861.870000001</v>
      </c>
      <c r="Y228" s="97" t="s">
        <v>743</v>
      </c>
      <c r="AI228" s="97">
        <v>208</v>
      </c>
      <c r="AJ228" s="111" t="s">
        <v>5279</v>
      </c>
      <c r="AK228" s="111">
        <v>-130382924</v>
      </c>
      <c r="AL228" s="97">
        <v>0</v>
      </c>
      <c r="AM228" s="20">
        <f t="shared" si="59"/>
        <v>624</v>
      </c>
      <c r="AN228" s="115">
        <f t="shared" si="60"/>
        <v>-81358944576</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52"/>
        <v>45436189.207500003</v>
      </c>
      <c r="Y229" s="97" t="s">
        <v>452</v>
      </c>
      <c r="AI229" s="97">
        <v>209</v>
      </c>
      <c r="AJ229" s="111" t="s">
        <v>5279</v>
      </c>
      <c r="AK229" s="111">
        <v>125000000</v>
      </c>
      <c r="AL229" s="97">
        <v>1</v>
      </c>
      <c r="AM229" s="20">
        <f t="shared" si="59"/>
        <v>624</v>
      </c>
      <c r="AN229" s="115">
        <f t="shared" si="60"/>
        <v>78000000000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52"/>
        <v>-3499787.9975000005</v>
      </c>
      <c r="Y230" s="97" t="s">
        <v>452</v>
      </c>
      <c r="AI230" s="97">
        <v>210</v>
      </c>
      <c r="AJ230" s="111" t="s">
        <v>5402</v>
      </c>
      <c r="AK230" s="111">
        <v>7200000</v>
      </c>
      <c r="AL230" s="97">
        <v>15</v>
      </c>
      <c r="AM230" s="20">
        <f t="shared" si="59"/>
        <v>623</v>
      </c>
      <c r="AN230" s="115">
        <f t="shared" si="60"/>
        <v>4485600000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52"/>
        <v>2520053.9208</v>
      </c>
      <c r="Y231" s="97" t="s">
        <v>452</v>
      </c>
      <c r="AI231" s="97">
        <v>211</v>
      </c>
      <c r="AJ231" s="111" t="s">
        <v>5421</v>
      </c>
      <c r="AK231" s="111">
        <v>2050000</v>
      </c>
      <c r="AL231" s="97">
        <v>7</v>
      </c>
      <c r="AM231" s="20">
        <f t="shared" si="59"/>
        <v>608</v>
      </c>
      <c r="AN231" s="115">
        <f t="shared" si="60"/>
        <v>1246400000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52"/>
        <v>4899987.78345</v>
      </c>
      <c r="Y232" s="97" t="s">
        <v>452</v>
      </c>
      <c r="AI232" s="97">
        <v>212</v>
      </c>
      <c r="AJ232" s="111" t="s">
        <v>5438</v>
      </c>
      <c r="AK232" s="111">
        <v>50000000</v>
      </c>
      <c r="AL232" s="97">
        <v>24</v>
      </c>
      <c r="AM232" s="20">
        <f t="shared" si="59"/>
        <v>601</v>
      </c>
      <c r="AN232" s="115">
        <f t="shared" si="60"/>
        <v>30050000000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52"/>
        <v>1149774.4651500001</v>
      </c>
      <c r="Y233" s="97" t="s">
        <v>452</v>
      </c>
      <c r="AA233" t="s">
        <v>25</v>
      </c>
      <c r="AI233" s="97">
        <v>213</v>
      </c>
      <c r="AJ233" s="111" t="s">
        <v>5474</v>
      </c>
      <c r="AK233" s="111">
        <v>-58196600</v>
      </c>
      <c r="AL233" s="97">
        <v>22</v>
      </c>
      <c r="AM233" s="20">
        <f t="shared" si="59"/>
        <v>577</v>
      </c>
      <c r="AN233" s="115">
        <f t="shared" si="60"/>
        <v>-33579438200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52"/>
        <v>-1999982.298</v>
      </c>
      <c r="Y234" s="97" t="s">
        <v>743</v>
      </c>
      <c r="AI234" s="97">
        <v>214</v>
      </c>
      <c r="AJ234" s="111" t="s">
        <v>5515</v>
      </c>
      <c r="AK234" s="111">
        <v>25000</v>
      </c>
      <c r="AL234" s="97">
        <v>8</v>
      </c>
      <c r="AM234" s="20">
        <f t="shared" si="59"/>
        <v>555</v>
      </c>
      <c r="AN234" s="115">
        <f t="shared" si="60"/>
        <v>13875000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52"/>
        <v>1999982.298</v>
      </c>
      <c r="Y235" s="97" t="s">
        <v>4406</v>
      </c>
      <c r="AI235" s="97">
        <v>215</v>
      </c>
      <c r="AJ235" s="111" t="s">
        <v>5536</v>
      </c>
      <c r="AK235" s="111">
        <v>70000</v>
      </c>
      <c r="AL235" s="97">
        <v>6</v>
      </c>
      <c r="AM235" s="20">
        <f t="shared" si="59"/>
        <v>547</v>
      </c>
      <c r="AN235" s="115">
        <f t="shared" si="60"/>
        <v>38290000</v>
      </c>
      <c r="AO235" s="20"/>
    </row>
    <row r="236" spans="4:46">
      <c r="G236" s="205" t="s">
        <v>5713</v>
      </c>
      <c r="H236" s="111">
        <v>8261456.790906</v>
      </c>
      <c r="R236" s="187" t="s">
        <v>6817</v>
      </c>
      <c r="S236" s="187" t="s">
        <v>6814</v>
      </c>
      <c r="T236" s="186">
        <v>-40615000</v>
      </c>
      <c r="U236" s="205" t="s">
        <v>4793</v>
      </c>
      <c r="V236" s="205">
        <v>776</v>
      </c>
      <c r="W236" s="111">
        <v>322.214</v>
      </c>
      <c r="X236" s="111">
        <f t="shared" si="52"/>
        <v>250038.06400000001</v>
      </c>
      <c r="Y236" s="97" t="s">
        <v>452</v>
      </c>
      <c r="AI236" s="97">
        <v>216</v>
      </c>
      <c r="AJ236" s="111" t="s">
        <v>5541</v>
      </c>
      <c r="AK236" s="111">
        <v>70000</v>
      </c>
      <c r="AL236" s="97">
        <v>1</v>
      </c>
      <c r="AM236" s="20">
        <f t="shared" si="59"/>
        <v>541</v>
      </c>
      <c r="AN236" s="115">
        <f t="shared" si="60"/>
        <v>37870000</v>
      </c>
      <c r="AO236" s="20"/>
      <c r="AS236" t="s">
        <v>25</v>
      </c>
    </row>
    <row r="237" spans="4:46">
      <c r="G237" s="205" t="s">
        <v>5714</v>
      </c>
      <c r="H237" s="111">
        <v>6572373.7593120001</v>
      </c>
      <c r="K237" t="s">
        <v>25</v>
      </c>
      <c r="R237" s="187" t="s">
        <v>6841</v>
      </c>
      <c r="S237" s="187" t="s">
        <v>6840</v>
      </c>
      <c r="T237" s="186">
        <v>7300000</v>
      </c>
      <c r="U237" s="205" t="s">
        <v>4860</v>
      </c>
      <c r="V237" s="205">
        <v>1524</v>
      </c>
      <c r="W237" s="111">
        <v>314.95999999999998</v>
      </c>
      <c r="X237" s="111">
        <f t="shared" si="52"/>
        <v>479999.04</v>
      </c>
      <c r="Y237" s="97" t="s">
        <v>1069</v>
      </c>
      <c r="AI237" s="97">
        <v>217</v>
      </c>
      <c r="AJ237" s="111" t="s">
        <v>5530</v>
      </c>
      <c r="AK237" s="111">
        <v>150000</v>
      </c>
      <c r="AL237" s="97">
        <v>0</v>
      </c>
      <c r="AM237" s="20">
        <f t="shared" si="59"/>
        <v>540</v>
      </c>
      <c r="AN237" s="115">
        <f t="shared" si="60"/>
        <v>81000000</v>
      </c>
      <c r="AO237" s="20"/>
      <c r="AR237" t="s">
        <v>25</v>
      </c>
      <c r="AT237" t="s">
        <v>25</v>
      </c>
    </row>
    <row r="238" spans="4:46">
      <c r="G238" s="205" t="s">
        <v>5718</v>
      </c>
      <c r="H238" s="111">
        <v>2893243.5730909999</v>
      </c>
      <c r="R238" s="19" t="s">
        <v>6899</v>
      </c>
      <c r="S238" s="19" t="s">
        <v>6896</v>
      </c>
      <c r="T238" s="115">
        <v>-6128000</v>
      </c>
      <c r="U238" s="205" t="s">
        <v>4867</v>
      </c>
      <c r="V238" s="205">
        <v>4435</v>
      </c>
      <c r="W238" s="111">
        <v>316.4375</v>
      </c>
      <c r="X238" s="111">
        <f t="shared" si="52"/>
        <v>1403400.3125</v>
      </c>
      <c r="Y238" s="97" t="s">
        <v>452</v>
      </c>
      <c r="AI238" s="97">
        <v>218</v>
      </c>
      <c r="AJ238" s="111" t="s">
        <v>5530</v>
      </c>
      <c r="AK238" s="111">
        <v>-95599450</v>
      </c>
      <c r="AL238" s="97">
        <v>7</v>
      </c>
      <c r="AM238" s="20">
        <f t="shared" si="59"/>
        <v>540</v>
      </c>
      <c r="AN238" s="115">
        <f t="shared" si="60"/>
        <v>-51623703000</v>
      </c>
      <c r="AO238" s="20" t="s">
        <v>5544</v>
      </c>
      <c r="AS238" t="s">
        <v>25</v>
      </c>
    </row>
    <row r="239" spans="4:46">
      <c r="G239" s="205" t="s">
        <v>5719</v>
      </c>
      <c r="H239" s="111">
        <v>94992058.939007998</v>
      </c>
      <c r="J239" t="s">
        <v>25</v>
      </c>
      <c r="R239" s="187" t="s">
        <v>6966</v>
      </c>
      <c r="S239" s="187" t="s">
        <v>6964</v>
      </c>
      <c r="T239" s="186">
        <v>-79825035</v>
      </c>
      <c r="U239" s="205" t="s">
        <v>4870</v>
      </c>
      <c r="V239" s="205">
        <v>624</v>
      </c>
      <c r="W239" s="111">
        <v>320.5</v>
      </c>
      <c r="X239" s="111">
        <f t="shared" si="52"/>
        <v>199992</v>
      </c>
      <c r="Y239" s="97" t="s">
        <v>452</v>
      </c>
      <c r="AI239" s="97">
        <v>219</v>
      </c>
      <c r="AJ239" s="111" t="s">
        <v>5552</v>
      </c>
      <c r="AK239" s="111">
        <v>200000</v>
      </c>
      <c r="AL239" s="97">
        <v>7</v>
      </c>
      <c r="AM239" s="20">
        <f t="shared" si="59"/>
        <v>533</v>
      </c>
      <c r="AN239" s="115">
        <f t="shared" si="60"/>
        <v>106600000</v>
      </c>
      <c r="AO239" s="20"/>
      <c r="AS239" t="s">
        <v>25</v>
      </c>
    </row>
    <row r="240" spans="4:46">
      <c r="G240" s="205" t="s">
        <v>5724</v>
      </c>
      <c r="H240" s="111">
        <v>275021.925965</v>
      </c>
      <c r="K240" t="s">
        <v>25</v>
      </c>
      <c r="R240" s="19"/>
      <c r="S240" s="19"/>
      <c r="T240" s="115"/>
      <c r="U240" s="205" t="s">
        <v>4875</v>
      </c>
      <c r="V240" s="205">
        <v>1086</v>
      </c>
      <c r="W240" s="111">
        <v>317.55</v>
      </c>
      <c r="X240" s="111">
        <f t="shared" si="52"/>
        <v>344859.3</v>
      </c>
      <c r="Y240" s="97" t="s">
        <v>452</v>
      </c>
      <c r="AI240" s="97">
        <v>220</v>
      </c>
      <c r="AJ240" s="111" t="s">
        <v>5557</v>
      </c>
      <c r="AK240" s="111">
        <v>150000</v>
      </c>
      <c r="AL240" s="97">
        <v>5</v>
      </c>
      <c r="AM240" s="20">
        <f t="shared" si="59"/>
        <v>526</v>
      </c>
      <c r="AN240" s="115">
        <f t="shared" si="60"/>
        <v>78900000</v>
      </c>
      <c r="AO240" s="20"/>
    </row>
    <row r="241" spans="7:47">
      <c r="G241" s="205" t="s">
        <v>5729</v>
      </c>
      <c r="H241" s="111">
        <v>327451.9203</v>
      </c>
      <c r="R241" s="19"/>
      <c r="S241" s="19"/>
      <c r="T241" s="115"/>
      <c r="U241" s="205" t="s">
        <v>4880</v>
      </c>
      <c r="V241" s="205">
        <v>2820</v>
      </c>
      <c r="W241" s="111">
        <v>319.1096</v>
      </c>
      <c r="X241" s="111">
        <f t="shared" si="52"/>
        <v>899889.07200000004</v>
      </c>
      <c r="Y241" s="97" t="s">
        <v>452</v>
      </c>
      <c r="AI241" s="97">
        <v>221</v>
      </c>
      <c r="AJ241" s="111" t="s">
        <v>5560</v>
      </c>
      <c r="AK241" s="111">
        <v>310000</v>
      </c>
      <c r="AL241" s="97">
        <v>31</v>
      </c>
      <c r="AM241" s="20">
        <f t="shared" si="59"/>
        <v>521</v>
      </c>
      <c r="AN241" s="115">
        <f t="shared" si="60"/>
        <v>161510000</v>
      </c>
      <c r="AO241" s="20"/>
      <c r="AS241" t="s">
        <v>25</v>
      </c>
    </row>
    <row r="242" spans="7:47">
      <c r="G242" s="205" t="s">
        <v>5739</v>
      </c>
      <c r="H242" s="111">
        <v>260081.94096800001</v>
      </c>
      <c r="R242" s="19"/>
      <c r="S242" s="19"/>
      <c r="T242" s="115"/>
      <c r="U242" s="205" t="s">
        <v>4883</v>
      </c>
      <c r="V242" s="205">
        <v>1145</v>
      </c>
      <c r="W242" s="111">
        <v>325.44</v>
      </c>
      <c r="X242" s="111">
        <f t="shared" si="52"/>
        <v>372628.8</v>
      </c>
      <c r="Y242" s="97" t="s">
        <v>452</v>
      </c>
      <c r="Z242" t="s">
        <v>25</v>
      </c>
      <c r="AI242" s="97">
        <v>222</v>
      </c>
      <c r="AJ242" s="111" t="s">
        <v>5596</v>
      </c>
      <c r="AK242" s="111">
        <v>4200000</v>
      </c>
      <c r="AL242" s="97">
        <v>53</v>
      </c>
      <c r="AM242" s="20">
        <f t="shared" si="59"/>
        <v>490</v>
      </c>
      <c r="AN242" s="115">
        <f t="shared" si="60"/>
        <v>2058000000</v>
      </c>
      <c r="AO242" s="20"/>
      <c r="AU242" s="94" t="s">
        <v>25</v>
      </c>
    </row>
    <row r="243" spans="7:47">
      <c r="G243" s="205" t="s">
        <v>5747</v>
      </c>
      <c r="H243" s="111">
        <v>2909284.5308940001</v>
      </c>
      <c r="R243" s="205" t="s">
        <v>25</v>
      </c>
      <c r="S243" s="205"/>
      <c r="T243" s="111"/>
      <c r="U243" s="205" t="s">
        <v>4891</v>
      </c>
      <c r="V243" s="205">
        <v>20153</v>
      </c>
      <c r="W243" s="111">
        <v>322</v>
      </c>
      <c r="X243" s="111">
        <f t="shared" si="52"/>
        <v>6489266</v>
      </c>
      <c r="Y243" s="97" t="s">
        <v>452</v>
      </c>
      <c r="AI243" s="97">
        <v>223</v>
      </c>
      <c r="AJ243" s="111" t="s">
        <v>5666</v>
      </c>
      <c r="AK243" s="111">
        <v>260000000</v>
      </c>
      <c r="AL243" s="97">
        <v>22</v>
      </c>
      <c r="AM243" s="20">
        <f t="shared" si="59"/>
        <v>437</v>
      </c>
      <c r="AN243" s="115">
        <f t="shared" si="60"/>
        <v>113620000000</v>
      </c>
      <c r="AO243" s="20" t="s">
        <v>5667</v>
      </c>
    </row>
    <row r="244" spans="7:47">
      <c r="G244" s="205" t="s">
        <v>5748</v>
      </c>
      <c r="H244" s="111">
        <v>37723205.094084002</v>
      </c>
      <c r="P244" t="s">
        <v>25</v>
      </c>
      <c r="R244" s="205"/>
      <c r="S244" s="205"/>
      <c r="T244" s="111">
        <f>SUM(T193:T243)</f>
        <v>41684922.132091016</v>
      </c>
      <c r="U244" s="205" t="s">
        <v>4901</v>
      </c>
      <c r="V244" s="205">
        <v>93720</v>
      </c>
      <c r="W244" s="111">
        <v>325.435</v>
      </c>
      <c r="X244" s="111">
        <f t="shared" si="52"/>
        <v>30499768.199999999</v>
      </c>
      <c r="Y244" s="97" t="s">
        <v>1069</v>
      </c>
      <c r="AI244" s="97">
        <v>224</v>
      </c>
      <c r="AJ244" s="111" t="s">
        <v>5694</v>
      </c>
      <c r="AK244" s="111">
        <v>20000</v>
      </c>
      <c r="AL244" s="97">
        <v>7</v>
      </c>
      <c r="AM244" s="20">
        <f t="shared" si="59"/>
        <v>415</v>
      </c>
      <c r="AN244" s="115">
        <f t="shared" si="60"/>
        <v>8300000</v>
      </c>
      <c r="AO244" s="20"/>
      <c r="AQ244" t="s">
        <v>25</v>
      </c>
    </row>
    <row r="245" spans="7:47">
      <c r="G245" s="205" t="s">
        <v>5749</v>
      </c>
      <c r="H245" s="111">
        <v>1500094.75168</v>
      </c>
      <c r="R245" s="41"/>
      <c r="S245" s="205"/>
      <c r="T245" s="205" t="s">
        <v>6</v>
      </c>
      <c r="U245" s="205" t="s">
        <v>4901</v>
      </c>
      <c r="V245" s="205">
        <v>20895</v>
      </c>
      <c r="W245" s="111">
        <v>325.435</v>
      </c>
      <c r="X245" s="111">
        <f t="shared" si="52"/>
        <v>6799964.3250000002</v>
      </c>
      <c r="Y245" s="97" t="s">
        <v>743</v>
      </c>
      <c r="AI245" s="97">
        <v>225</v>
      </c>
      <c r="AJ245" s="111" t="s">
        <v>5702</v>
      </c>
      <c r="AK245" s="111">
        <v>70000</v>
      </c>
      <c r="AL245" s="97">
        <v>1</v>
      </c>
      <c r="AM245" s="20">
        <f t="shared" si="59"/>
        <v>408</v>
      </c>
      <c r="AN245" s="115">
        <f t="shared" si="60"/>
        <v>28560000</v>
      </c>
      <c r="AO245" s="20"/>
    </row>
    <row r="246" spans="7:47">
      <c r="G246" s="205" t="s">
        <v>5750</v>
      </c>
      <c r="H246" s="111">
        <v>7230628.4378079996</v>
      </c>
      <c r="J246" t="s">
        <v>25</v>
      </c>
      <c r="R246" s="94"/>
      <c r="U246" s="205" t="s">
        <v>4908</v>
      </c>
      <c r="V246" s="205">
        <v>2611</v>
      </c>
      <c r="W246" s="111">
        <v>325.435</v>
      </c>
      <c r="X246" s="111">
        <f t="shared" si="52"/>
        <v>849710.78500000003</v>
      </c>
      <c r="Y246" s="97" t="s">
        <v>743</v>
      </c>
      <c r="AI246" s="97">
        <v>226</v>
      </c>
      <c r="AJ246" s="111" t="s">
        <v>5708</v>
      </c>
      <c r="AK246" s="111">
        <v>330000</v>
      </c>
      <c r="AL246" s="97">
        <v>1</v>
      </c>
      <c r="AM246" s="20">
        <f t="shared" si="59"/>
        <v>407</v>
      </c>
      <c r="AN246" s="115">
        <f t="shared" si="60"/>
        <v>134310000</v>
      </c>
      <c r="AO246" s="20"/>
    </row>
    <row r="247" spans="7:47">
      <c r="G247" s="205" t="s">
        <v>5752</v>
      </c>
      <c r="H247" s="111">
        <v>29767389.390390001</v>
      </c>
      <c r="R247" s="94" t="s">
        <v>25</v>
      </c>
      <c r="S247" s="94" t="s">
        <v>25</v>
      </c>
      <c r="U247" s="205" t="s">
        <v>4916</v>
      </c>
      <c r="V247" s="205">
        <v>6750</v>
      </c>
      <c r="W247" s="111">
        <v>339.3</v>
      </c>
      <c r="X247" s="111">
        <f t="shared" si="52"/>
        <v>2290275</v>
      </c>
      <c r="Y247" s="97" t="s">
        <v>743</v>
      </c>
      <c r="AB247" t="s">
        <v>25</v>
      </c>
      <c r="AI247" s="97">
        <v>227</v>
      </c>
      <c r="AJ247" s="111" t="s">
        <v>5797</v>
      </c>
      <c r="AK247" s="111">
        <v>33833075</v>
      </c>
      <c r="AL247" s="97">
        <v>18</v>
      </c>
      <c r="AM247" s="20">
        <f t="shared" si="59"/>
        <v>406</v>
      </c>
      <c r="AN247" s="115">
        <f t="shared" si="60"/>
        <v>13736228450</v>
      </c>
      <c r="AO247" s="20" t="s">
        <v>5801</v>
      </c>
    </row>
    <row r="248" spans="7:47">
      <c r="G248" s="205" t="s">
        <v>5754</v>
      </c>
      <c r="H248" s="111">
        <v>151560.25597</v>
      </c>
      <c r="R248" s="94" t="s">
        <v>25</v>
      </c>
      <c r="S248" s="94" t="s">
        <v>25</v>
      </c>
      <c r="T248" t="s">
        <v>25</v>
      </c>
      <c r="U248" s="205" t="s">
        <v>4924</v>
      </c>
      <c r="V248" s="205">
        <v>1850</v>
      </c>
      <c r="W248" s="111">
        <v>334.10050000000001</v>
      </c>
      <c r="X248" s="111">
        <f t="shared" si="52"/>
        <v>618085.92500000005</v>
      </c>
      <c r="Y248" s="97" t="s">
        <v>452</v>
      </c>
      <c r="Z248" t="s">
        <v>25</v>
      </c>
      <c r="AI248" s="97">
        <v>228</v>
      </c>
      <c r="AJ248" s="111" t="s">
        <v>5808</v>
      </c>
      <c r="AK248" s="111">
        <v>150000</v>
      </c>
      <c r="AL248" s="97">
        <v>10</v>
      </c>
      <c r="AM248" s="20">
        <f t="shared" si="59"/>
        <v>388</v>
      </c>
      <c r="AN248" s="115">
        <f t="shared" si="60"/>
        <v>58200000</v>
      </c>
      <c r="AO248" s="20"/>
    </row>
    <row r="249" spans="7:47">
      <c r="G249" s="205" t="s">
        <v>5755</v>
      </c>
      <c r="H249" s="111">
        <v>481318.88078800001</v>
      </c>
      <c r="J249" t="s">
        <v>25</v>
      </c>
      <c r="T249" t="s">
        <v>25</v>
      </c>
      <c r="U249" s="205" t="s">
        <v>4924</v>
      </c>
      <c r="V249" s="205">
        <v>-1194</v>
      </c>
      <c r="W249" s="111">
        <v>335</v>
      </c>
      <c r="X249" s="111">
        <f t="shared" si="52"/>
        <v>-399990</v>
      </c>
      <c r="Y249" s="97" t="s">
        <v>4406</v>
      </c>
      <c r="Z249" t="s">
        <v>25</v>
      </c>
      <c r="AI249" s="97">
        <v>229</v>
      </c>
      <c r="AJ249" s="111" t="s">
        <v>5813</v>
      </c>
      <c r="AK249" s="111">
        <v>-341847876.93843603</v>
      </c>
      <c r="AL249" s="97">
        <v>1</v>
      </c>
      <c r="AM249" s="20">
        <f t="shared" si="59"/>
        <v>378</v>
      </c>
      <c r="AN249" s="115">
        <f t="shared" si="60"/>
        <v>-129218497482.72882</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52"/>
        <v>399990</v>
      </c>
      <c r="Y250" s="97" t="s">
        <v>743</v>
      </c>
      <c r="AI250" s="97">
        <v>230</v>
      </c>
      <c r="AJ250" s="111" t="s">
        <v>5824</v>
      </c>
      <c r="AK250" s="111">
        <v>100000000</v>
      </c>
      <c r="AL250" s="97">
        <v>0</v>
      </c>
      <c r="AM250" s="20">
        <f t="shared" si="59"/>
        <v>377</v>
      </c>
      <c r="AN250" s="115">
        <f t="shared" si="60"/>
        <v>37700000000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52"/>
        <v>149679.44</v>
      </c>
      <c r="Y251" s="97" t="s">
        <v>743</v>
      </c>
      <c r="AI251" s="97">
        <v>231</v>
      </c>
      <c r="AJ251" s="111" t="s">
        <v>5824</v>
      </c>
      <c r="AK251" s="111">
        <v>-100000000</v>
      </c>
      <c r="AL251" s="97">
        <v>1</v>
      </c>
      <c r="AM251" s="20">
        <f t="shared" si="59"/>
        <v>377</v>
      </c>
      <c r="AN251" s="115">
        <f t="shared" si="60"/>
        <v>-37700000000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52"/>
        <v>20104984.479020003</v>
      </c>
      <c r="Y252" s="97" t="s">
        <v>452</v>
      </c>
      <c r="AI252" s="97">
        <v>232</v>
      </c>
      <c r="AJ252" s="111" t="s">
        <v>5827</v>
      </c>
      <c r="AK252" s="111">
        <v>90000000</v>
      </c>
      <c r="AL252" s="97">
        <v>0</v>
      </c>
      <c r="AM252" s="20">
        <f t="shared" si="59"/>
        <v>376</v>
      </c>
      <c r="AN252" s="115">
        <f t="shared" si="60"/>
        <v>33840000000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52"/>
        <v>-21079990.248</v>
      </c>
      <c r="Y253" s="97" t="s">
        <v>452</v>
      </c>
      <c r="AI253" s="97">
        <v>233</v>
      </c>
      <c r="AJ253" s="111" t="s">
        <v>5827</v>
      </c>
      <c r="AK253" s="111">
        <v>-90000000</v>
      </c>
      <c r="AL253" s="97">
        <v>1</v>
      </c>
      <c r="AM253" s="20">
        <f t="shared" si="59"/>
        <v>376</v>
      </c>
      <c r="AN253" s="115">
        <f t="shared" si="60"/>
        <v>-33840000000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52"/>
        <v>-5949276.6959999995</v>
      </c>
      <c r="Y254" s="97" t="s">
        <v>452</v>
      </c>
      <c r="AI254" s="97">
        <v>234</v>
      </c>
      <c r="AJ254" s="111" t="s">
        <v>5829</v>
      </c>
      <c r="AK254" s="111">
        <v>30000000</v>
      </c>
      <c r="AL254" s="97">
        <v>0</v>
      </c>
      <c r="AM254" s="20">
        <f t="shared" si="59"/>
        <v>375</v>
      </c>
      <c r="AN254" s="115">
        <f t="shared" si="60"/>
        <v>11250000000</v>
      </c>
      <c r="AO254" s="259"/>
    </row>
    <row r="255" spans="7:47" ht="30">
      <c r="G255" s="205" t="s">
        <v>5807</v>
      </c>
      <c r="H255" s="111">
        <v>466552.25632400002</v>
      </c>
      <c r="R255" s="97" t="s">
        <v>4528</v>
      </c>
      <c r="S255" s="93">
        <v>-4000000</v>
      </c>
      <c r="U255" s="205" t="s">
        <v>4946</v>
      </c>
      <c r="V255" s="205">
        <v>-41289</v>
      </c>
      <c r="W255" s="111">
        <v>372.27</v>
      </c>
      <c r="X255" s="111">
        <f t="shared" si="52"/>
        <v>-15370656.029999999</v>
      </c>
      <c r="Y255" s="97" t="s">
        <v>452</v>
      </c>
      <c r="AI255" s="97">
        <v>235</v>
      </c>
      <c r="AJ255" s="111" t="s">
        <v>5829</v>
      </c>
      <c r="AK255" s="111">
        <v>-30000000</v>
      </c>
      <c r="AL255" s="97">
        <v>3</v>
      </c>
      <c r="AM255" s="20">
        <f t="shared" si="59"/>
        <v>375</v>
      </c>
      <c r="AN255" s="115">
        <f t="shared" si="60"/>
        <v>-11250000000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52"/>
        <v>4959961.9739999995</v>
      </c>
      <c r="Y256" s="97" t="s">
        <v>452</v>
      </c>
      <c r="AI256" s="97">
        <v>236</v>
      </c>
      <c r="AJ256" s="111" t="s">
        <v>5836</v>
      </c>
      <c r="AK256" s="111">
        <v>50000000</v>
      </c>
      <c r="AL256" s="97">
        <v>1</v>
      </c>
      <c r="AM256" s="20">
        <f t="shared" si="59"/>
        <v>372</v>
      </c>
      <c r="AN256" s="115">
        <f t="shared" si="60"/>
        <v>18600000000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52"/>
        <v>9999646.1119999997</v>
      </c>
      <c r="Y257" s="97" t="s">
        <v>452</v>
      </c>
      <c r="AI257" s="97">
        <v>237</v>
      </c>
      <c r="AJ257" s="111" t="s">
        <v>5837</v>
      </c>
      <c r="AK257" s="111">
        <v>-50000000</v>
      </c>
      <c r="AL257" s="97">
        <v>5</v>
      </c>
      <c r="AM257" s="20">
        <f t="shared" si="59"/>
        <v>371</v>
      </c>
      <c r="AN257" s="115">
        <f t="shared" si="60"/>
        <v>-18550000000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52"/>
        <v>-40570435.43</v>
      </c>
      <c r="Y258" s="36" t="s">
        <v>4964</v>
      </c>
      <c r="AI258" s="97">
        <v>238</v>
      </c>
      <c r="AJ258" s="111" t="s">
        <v>6183</v>
      </c>
      <c r="AK258" s="111">
        <v>10000</v>
      </c>
      <c r="AL258" s="97">
        <v>1</v>
      </c>
      <c r="AM258" s="20">
        <f t="shared" si="59"/>
        <v>366</v>
      </c>
      <c r="AN258" s="115">
        <f t="shared" si="60"/>
        <v>3660000</v>
      </c>
      <c r="AO258" s="259"/>
    </row>
    <row r="259" spans="7:46" ht="15" customHeight="1">
      <c r="G259" s="205" t="s">
        <v>5837</v>
      </c>
      <c r="H259" s="111">
        <v>269955.31205999997</v>
      </c>
      <c r="R259" s="97" t="s">
        <v>4580</v>
      </c>
      <c r="S259" s="93">
        <v>4374525</v>
      </c>
      <c r="U259" s="205" t="s">
        <v>4959</v>
      </c>
      <c r="V259" s="205">
        <v>-369</v>
      </c>
      <c r="W259" s="111">
        <v>393.334</v>
      </c>
      <c r="X259" s="111">
        <f t="shared" si="52"/>
        <v>-145140.24600000001</v>
      </c>
      <c r="Y259" s="36" t="s">
        <v>5036</v>
      </c>
      <c r="AI259" s="97">
        <v>239</v>
      </c>
      <c r="AJ259" s="111" t="s">
        <v>6186</v>
      </c>
      <c r="AK259" s="111">
        <v>50000000</v>
      </c>
      <c r="AL259" s="97">
        <v>43</v>
      </c>
      <c r="AM259" s="20">
        <f t="shared" si="59"/>
        <v>365</v>
      </c>
      <c r="AN259" s="115">
        <f t="shared" si="60"/>
        <v>18250000000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52"/>
        <v>-349673.92599999998</v>
      </c>
      <c r="Y260" s="36" t="s">
        <v>5037</v>
      </c>
      <c r="AI260" s="97">
        <v>240</v>
      </c>
      <c r="AJ260" s="111" t="s">
        <v>6231</v>
      </c>
      <c r="AK260" s="111">
        <v>50000000</v>
      </c>
      <c r="AL260" s="97">
        <v>10</v>
      </c>
      <c r="AM260" s="20">
        <f t="shared" si="59"/>
        <v>322</v>
      </c>
      <c r="AN260" s="115">
        <f t="shared" si="60"/>
        <v>16100000000</v>
      </c>
      <c r="AO260" s="259" t="s">
        <v>6232</v>
      </c>
    </row>
    <row r="261" spans="7:46">
      <c r="G261" s="205" t="s">
        <v>6194</v>
      </c>
      <c r="H261" s="111">
        <v>581484.96802499995</v>
      </c>
      <c r="R261" s="97" t="s">
        <v>4593</v>
      </c>
      <c r="S261" s="93">
        <v>6650895</v>
      </c>
      <c r="U261" s="205" t="s">
        <v>4968</v>
      </c>
      <c r="V261" s="205">
        <v>2546</v>
      </c>
      <c r="W261" s="111">
        <v>393</v>
      </c>
      <c r="X261" s="111">
        <f t="shared" si="52"/>
        <v>1000578</v>
      </c>
      <c r="Y261" s="36" t="s">
        <v>452</v>
      </c>
      <c r="AI261" s="97">
        <v>241</v>
      </c>
      <c r="AJ261" s="111" t="s">
        <v>6233</v>
      </c>
      <c r="AK261" s="111">
        <v>8200000</v>
      </c>
      <c r="AL261" s="97">
        <v>29</v>
      </c>
      <c r="AM261" s="20">
        <f t="shared" si="59"/>
        <v>312</v>
      </c>
      <c r="AN261" s="115">
        <f t="shared" si="60"/>
        <v>2558400000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52"/>
        <v>399752.67200000002</v>
      </c>
      <c r="Y262" s="36" t="s">
        <v>452</v>
      </c>
      <c r="AI262" s="97">
        <v>242</v>
      </c>
      <c r="AJ262" s="111" t="s">
        <v>6268</v>
      </c>
      <c r="AK262" s="111">
        <v>-180000000</v>
      </c>
      <c r="AL262" s="97">
        <v>16</v>
      </c>
      <c r="AM262" s="20">
        <f t="shared" si="59"/>
        <v>283</v>
      </c>
      <c r="AN262" s="115">
        <f t="shared" si="60"/>
        <v>-50940000000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52"/>
        <v>120000</v>
      </c>
      <c r="Y263" s="36" t="s">
        <v>452</v>
      </c>
      <c r="AI263" s="97">
        <v>243</v>
      </c>
      <c r="AJ263" s="111" t="s">
        <v>6377</v>
      </c>
      <c r="AK263" s="111">
        <v>60000000</v>
      </c>
      <c r="AL263" s="97">
        <v>6</v>
      </c>
      <c r="AM263" s="20">
        <f t="shared" si="59"/>
        <v>267</v>
      </c>
      <c r="AN263" s="115">
        <f t="shared" si="60"/>
        <v>16020000000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52"/>
        <v>319838</v>
      </c>
      <c r="Y264" s="36" t="s">
        <v>743</v>
      </c>
      <c r="AI264" s="97">
        <v>244</v>
      </c>
      <c r="AJ264" s="111" t="s">
        <v>6386</v>
      </c>
      <c r="AK264" s="111">
        <v>5000</v>
      </c>
      <c r="AL264" s="97">
        <v>8</v>
      </c>
      <c r="AM264" s="20">
        <f t="shared" si="59"/>
        <v>261</v>
      </c>
      <c r="AN264" s="115">
        <f t="shared" si="60"/>
        <v>1305000</v>
      </c>
      <c r="AO264" s="259" t="s">
        <v>6232</v>
      </c>
    </row>
    <row r="265" spans="7:46">
      <c r="G265" s="205" t="s">
        <v>6234</v>
      </c>
      <c r="H265" s="111">
        <v>15777944</v>
      </c>
      <c r="R265" s="97" t="s">
        <v>4628</v>
      </c>
      <c r="S265" s="93">
        <v>6667654</v>
      </c>
      <c r="U265" s="205" t="s">
        <v>4988</v>
      </c>
      <c r="V265" s="205">
        <v>1220</v>
      </c>
      <c r="W265" s="111">
        <v>409.9</v>
      </c>
      <c r="X265" s="111">
        <f t="shared" si="52"/>
        <v>500078</v>
      </c>
      <c r="Y265" s="36" t="s">
        <v>743</v>
      </c>
      <c r="AI265" s="97">
        <v>245</v>
      </c>
      <c r="AJ265" s="111" t="s">
        <v>6391</v>
      </c>
      <c r="AK265" s="111">
        <v>102750000</v>
      </c>
      <c r="AL265" s="97">
        <v>5</v>
      </c>
      <c r="AM265" s="20">
        <f t="shared" si="59"/>
        <v>253</v>
      </c>
      <c r="AN265" s="115">
        <f t="shared" si="60"/>
        <v>25995750000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52"/>
        <v>499659.39999999997</v>
      </c>
      <c r="Y266" s="36" t="s">
        <v>452</v>
      </c>
      <c r="AI266" s="97">
        <v>246</v>
      </c>
      <c r="AJ266" s="111" t="s">
        <v>6398</v>
      </c>
      <c r="AK266" s="111">
        <v>-60000000</v>
      </c>
      <c r="AL266" s="97">
        <v>42</v>
      </c>
      <c r="AM266" s="20">
        <f t="shared" si="59"/>
        <v>248</v>
      </c>
      <c r="AN266" s="115">
        <f t="shared" si="60"/>
        <v>-14880000000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52"/>
        <v>744003.10400000005</v>
      </c>
      <c r="Y267" s="36" t="s">
        <v>452</v>
      </c>
      <c r="AI267" s="97">
        <v>247</v>
      </c>
      <c r="AJ267" s="111" t="s">
        <v>6707</v>
      </c>
      <c r="AK267" s="111">
        <v>50000</v>
      </c>
      <c r="AL267" s="97">
        <v>59</v>
      </c>
      <c r="AM267" s="20">
        <f t="shared" si="59"/>
        <v>206</v>
      </c>
      <c r="AN267" s="115">
        <f t="shared" si="60"/>
        <v>10300000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52"/>
        <v>64927.5</v>
      </c>
      <c r="Y268" s="36" t="s">
        <v>452</v>
      </c>
      <c r="AI268" s="97">
        <v>248</v>
      </c>
      <c r="AJ268" s="111" t="s">
        <v>6834</v>
      </c>
      <c r="AK268" s="111">
        <v>300000</v>
      </c>
      <c r="AL268" s="97">
        <v>55</v>
      </c>
      <c r="AM268" s="20">
        <f t="shared" si="59"/>
        <v>147</v>
      </c>
      <c r="AN268" s="115">
        <f t="shared" si="60"/>
        <v>44100000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52"/>
        <v>-14053702.1515</v>
      </c>
      <c r="Y269" s="36" t="s">
        <v>5014</v>
      </c>
      <c r="AI269" s="97">
        <v>249</v>
      </c>
      <c r="AJ269" s="111" t="s">
        <v>6877</v>
      </c>
      <c r="AK269" s="111">
        <v>200000000</v>
      </c>
      <c r="AL269" s="97">
        <v>7</v>
      </c>
      <c r="AM269" s="20">
        <f t="shared" si="59"/>
        <v>92</v>
      </c>
      <c r="AN269" s="115">
        <f t="shared" si="60"/>
        <v>18400000000</v>
      </c>
      <c r="AO269" s="259" t="s">
        <v>6878</v>
      </c>
    </row>
    <row r="270" spans="7:46">
      <c r="G270" s="205" t="s">
        <v>6258</v>
      </c>
      <c r="H270" s="111">
        <v>4136360.6541840001</v>
      </c>
      <c r="J270" t="s">
        <v>25</v>
      </c>
      <c r="R270" s="97" t="s">
        <v>4662</v>
      </c>
      <c r="S270" s="93">
        <v>37328780</v>
      </c>
      <c r="U270" s="205" t="s">
        <v>4982</v>
      </c>
      <c r="V270" s="205">
        <v>8476</v>
      </c>
      <c r="W270" s="111">
        <v>419.49900000000002</v>
      </c>
      <c r="X270" s="111">
        <f t="shared" si="52"/>
        <v>3555673.5240000002</v>
      </c>
      <c r="Y270" s="36" t="s">
        <v>5020</v>
      </c>
      <c r="AI270" s="97">
        <v>250</v>
      </c>
      <c r="AJ270" s="111" t="s">
        <v>6884</v>
      </c>
      <c r="AK270" s="111">
        <v>50000</v>
      </c>
      <c r="AL270" s="97">
        <v>83</v>
      </c>
      <c r="AM270" s="20">
        <f t="shared" si="59"/>
        <v>85</v>
      </c>
      <c r="AN270" s="115">
        <f t="shared" si="60"/>
        <v>4250000</v>
      </c>
      <c r="AO270" s="20" t="s">
        <v>6232</v>
      </c>
    </row>
    <row r="271" spans="7:46">
      <c r="G271" s="205" t="s">
        <v>6260</v>
      </c>
      <c r="H271" s="111">
        <v>3035714.4702960001</v>
      </c>
      <c r="R271" s="97" t="s">
        <v>4738</v>
      </c>
      <c r="S271" s="93">
        <v>-2194100</v>
      </c>
      <c r="U271" s="205" t="s">
        <v>5032</v>
      </c>
      <c r="V271" s="205">
        <v>903</v>
      </c>
      <c r="W271" s="111">
        <v>442.77379999999999</v>
      </c>
      <c r="X271" s="111">
        <f t="shared" si="52"/>
        <v>399824.7414</v>
      </c>
      <c r="Y271" s="36" t="s">
        <v>743</v>
      </c>
      <c r="AD271" t="s">
        <v>25</v>
      </c>
      <c r="AI271" s="97">
        <v>251</v>
      </c>
      <c r="AJ271" s="111" t="s">
        <v>6964</v>
      </c>
      <c r="AK271" s="111">
        <v>20000000</v>
      </c>
      <c r="AL271" s="97">
        <v>0</v>
      </c>
      <c r="AM271" s="20">
        <f t="shared" si="59"/>
        <v>2</v>
      </c>
      <c r="AN271" s="115">
        <f t="shared" si="60"/>
        <v>40000000</v>
      </c>
      <c r="AO271" s="20" t="s">
        <v>6970</v>
      </c>
      <c r="AS271" t="s">
        <v>25</v>
      </c>
    </row>
    <row r="272" spans="7:46">
      <c r="G272" s="205" t="s">
        <v>6268</v>
      </c>
      <c r="H272" s="111">
        <v>93814</v>
      </c>
      <c r="R272" s="97" t="s">
        <v>4774</v>
      </c>
      <c r="S272" s="93">
        <v>20193916</v>
      </c>
      <c r="U272" s="205" t="s">
        <v>5035</v>
      </c>
      <c r="V272" s="205">
        <v>113</v>
      </c>
      <c r="W272" s="111">
        <v>442.48200000000003</v>
      </c>
      <c r="X272" s="111">
        <f t="shared" ref="X272:X353" si="61">V272*W272</f>
        <v>50000.466</v>
      </c>
      <c r="Y272" s="36" t="s">
        <v>743</v>
      </c>
      <c r="AI272" s="97">
        <v>252</v>
      </c>
      <c r="AJ272" s="111" t="s">
        <v>6969</v>
      </c>
      <c r="AK272" s="111">
        <v>-562402000</v>
      </c>
      <c r="AL272" s="97">
        <v>1</v>
      </c>
      <c r="AM272" s="20">
        <f t="shared" si="59"/>
        <v>2</v>
      </c>
      <c r="AN272" s="115">
        <f t="shared" si="60"/>
        <v>-1124804000</v>
      </c>
      <c r="AO272" s="20" t="s">
        <v>6971</v>
      </c>
    </row>
    <row r="273" spans="7:44">
      <c r="G273" s="205" t="s">
        <v>6273</v>
      </c>
      <c r="H273" s="111">
        <v>345069.28943499998</v>
      </c>
      <c r="R273" s="97" t="s">
        <v>4838</v>
      </c>
      <c r="S273" s="93">
        <v>-2000000</v>
      </c>
      <c r="U273" s="205" t="s">
        <v>5045</v>
      </c>
      <c r="V273" s="205">
        <v>671</v>
      </c>
      <c r="W273" s="111">
        <v>447</v>
      </c>
      <c r="X273" s="111">
        <f t="shared" si="61"/>
        <v>299937</v>
      </c>
      <c r="Y273" s="36" t="s">
        <v>743</v>
      </c>
      <c r="AI273" s="97">
        <v>253</v>
      </c>
      <c r="AJ273" s="111" t="s">
        <v>6973</v>
      </c>
      <c r="AK273" s="111">
        <v>30000000</v>
      </c>
      <c r="AL273" s="97">
        <v>1</v>
      </c>
      <c r="AM273" s="20">
        <f t="shared" si="59"/>
        <v>1</v>
      </c>
      <c r="AN273" s="115">
        <f t="shared" si="60"/>
        <v>30000000</v>
      </c>
      <c r="AO273" s="20" t="s">
        <v>6979</v>
      </c>
    </row>
    <row r="274" spans="7:44">
      <c r="G274" s="205" t="s">
        <v>6365</v>
      </c>
      <c r="H274" s="111">
        <v>567785.37859199999</v>
      </c>
      <c r="R274" s="97" t="s">
        <v>4901</v>
      </c>
      <c r="S274" s="93">
        <v>6800000</v>
      </c>
      <c r="T274" t="s">
        <v>25</v>
      </c>
      <c r="U274" s="205" t="s">
        <v>5047</v>
      </c>
      <c r="V274" s="205">
        <v>7</v>
      </c>
      <c r="W274" s="111">
        <v>465.31200000000001</v>
      </c>
      <c r="X274" s="111">
        <f t="shared" si="61"/>
        <v>3257.1840000000002</v>
      </c>
      <c r="Y274" s="36" t="s">
        <v>452</v>
      </c>
      <c r="AI274" s="97"/>
      <c r="AJ274" s="111"/>
      <c r="AK274" s="111"/>
      <c r="AL274" s="97"/>
      <c r="AM274" s="20">
        <f t="shared" si="59"/>
        <v>0</v>
      </c>
      <c r="AN274" s="115">
        <f t="shared" si="60"/>
        <v>0</v>
      </c>
      <c r="AO274" s="20"/>
      <c r="AQ274" t="s">
        <v>25</v>
      </c>
    </row>
    <row r="275" spans="7:44">
      <c r="G275" s="205" t="s">
        <v>6376</v>
      </c>
      <c r="H275" s="111">
        <v>189683.91675</v>
      </c>
      <c r="J275" t="s">
        <v>25</v>
      </c>
      <c r="R275" s="97" t="s">
        <v>4908</v>
      </c>
      <c r="S275" s="93">
        <v>850000</v>
      </c>
      <c r="U275" s="205" t="s">
        <v>5051</v>
      </c>
      <c r="V275" s="205">
        <v>12950</v>
      </c>
      <c r="W275" s="111">
        <v>463.31599999999997</v>
      </c>
      <c r="X275" s="111">
        <f t="shared" si="61"/>
        <v>5999942.1999999993</v>
      </c>
      <c r="Y275" s="36" t="s">
        <v>452</v>
      </c>
      <c r="AI275" s="97"/>
      <c r="AJ275" s="111"/>
      <c r="AK275" s="111"/>
      <c r="AL275" s="97"/>
      <c r="AM275" s="20">
        <f t="shared" si="59"/>
        <v>0</v>
      </c>
      <c r="AN275" s="115">
        <f t="shared" si="60"/>
        <v>0</v>
      </c>
      <c r="AO275" s="20"/>
    </row>
    <row r="276" spans="7:44">
      <c r="G276" s="205" t="s">
        <v>6377</v>
      </c>
      <c r="H276" s="111">
        <v>519135.75707200001</v>
      </c>
      <c r="R276" s="97" t="s">
        <v>4916</v>
      </c>
      <c r="S276" s="93">
        <v>2290500</v>
      </c>
      <c r="U276" s="205" t="s">
        <v>5053</v>
      </c>
      <c r="V276" s="205">
        <v>37</v>
      </c>
      <c r="W276" s="111">
        <v>463.315</v>
      </c>
      <c r="X276" s="111">
        <f t="shared" si="61"/>
        <v>17142.654999999999</v>
      </c>
      <c r="Y276" s="36" t="s">
        <v>452</v>
      </c>
      <c r="AI276" s="97"/>
      <c r="AJ276" s="111"/>
      <c r="AK276" s="111"/>
      <c r="AL276" s="97"/>
      <c r="AM276" s="20">
        <f t="shared" si="59"/>
        <v>0</v>
      </c>
      <c r="AN276" s="115">
        <f t="shared" si="60"/>
        <v>0</v>
      </c>
      <c r="AO276" s="20"/>
    </row>
    <row r="277" spans="7:44">
      <c r="G277" s="205" t="s">
        <v>6383</v>
      </c>
      <c r="H277" s="111">
        <v>3406413.9029760002</v>
      </c>
      <c r="R277" s="97" t="s">
        <v>4924</v>
      </c>
      <c r="S277" s="93">
        <v>400000</v>
      </c>
      <c r="T277" t="s">
        <v>25</v>
      </c>
      <c r="U277" s="205" t="s">
        <v>5054</v>
      </c>
      <c r="V277" s="205">
        <v>19</v>
      </c>
      <c r="W277" s="111">
        <v>434.3</v>
      </c>
      <c r="X277" s="111">
        <f t="shared" si="61"/>
        <v>8251.7000000000007</v>
      </c>
      <c r="Y277" s="36" t="s">
        <v>452</v>
      </c>
      <c r="Z277" t="s">
        <v>25</v>
      </c>
      <c r="AI277" s="97"/>
      <c r="AJ277" s="111"/>
      <c r="AK277" s="111">
        <v>0</v>
      </c>
      <c r="AL277" s="97"/>
      <c r="AM277" s="20">
        <f t="shared" si="59"/>
        <v>0</v>
      </c>
      <c r="AN277" s="115">
        <f t="shared" si="60"/>
        <v>0</v>
      </c>
      <c r="AO277" s="20"/>
    </row>
    <row r="278" spans="7:44">
      <c r="G278" s="356" t="s">
        <v>6385</v>
      </c>
      <c r="H278" s="77">
        <v>435036.348168</v>
      </c>
      <c r="R278" s="97" t="s">
        <v>4931</v>
      </c>
      <c r="S278" s="93">
        <v>150000</v>
      </c>
      <c r="U278" s="205" t="s">
        <v>5056</v>
      </c>
      <c r="V278" s="205">
        <v>16</v>
      </c>
      <c r="W278" s="111">
        <v>439</v>
      </c>
      <c r="X278" s="111">
        <f t="shared" si="61"/>
        <v>7024</v>
      </c>
      <c r="Y278" s="36" t="s">
        <v>452</v>
      </c>
      <c r="Z278" t="s">
        <v>25</v>
      </c>
      <c r="AI278" s="97"/>
      <c r="AJ278" s="111"/>
      <c r="AK278" s="111"/>
      <c r="AL278" s="97">
        <v>0</v>
      </c>
      <c r="AM278" s="20">
        <f t="shared" si="59"/>
        <v>0</v>
      </c>
      <c r="AN278" s="115">
        <f t="shared" si="60"/>
        <v>0</v>
      </c>
      <c r="AO278" s="20"/>
    </row>
    <row r="279" spans="7:44" ht="45">
      <c r="G279" s="205" t="s">
        <v>6417</v>
      </c>
      <c r="H279" s="111">
        <v>2321535.4633200001</v>
      </c>
      <c r="R279" s="97" t="s">
        <v>4959</v>
      </c>
      <c r="S279" s="93">
        <v>-144950</v>
      </c>
      <c r="U279" s="205" t="s">
        <v>5056</v>
      </c>
      <c r="V279" s="205">
        <v>9191</v>
      </c>
      <c r="W279" s="111">
        <v>440.24630000000002</v>
      </c>
      <c r="X279" s="111">
        <f t="shared" si="61"/>
        <v>4046303.7433000002</v>
      </c>
      <c r="Y279" s="36" t="s">
        <v>5057</v>
      </c>
      <c r="AI279" s="97"/>
      <c r="AJ279" s="97"/>
      <c r="AK279" s="93">
        <f>SUM(AK20:AK278)</f>
        <v>157433949.06156397</v>
      </c>
      <c r="AL279" s="97"/>
      <c r="AM279" s="97">
        <v>0</v>
      </c>
      <c r="AN279" s="93">
        <f>SUM(AN20:AN278)</f>
        <v>621445483649.27124</v>
      </c>
      <c r="AO279" s="93">
        <f>AN279*AO282/31</f>
        <v>334117157.28975499</v>
      </c>
    </row>
    <row r="280" spans="7:44">
      <c r="G280" s="205" t="s">
        <v>6698</v>
      </c>
      <c r="H280" s="111">
        <v>1098146.8035800001</v>
      </c>
      <c r="R280" s="97" t="s">
        <v>4984</v>
      </c>
      <c r="S280" s="93">
        <v>320000</v>
      </c>
      <c r="U280" s="205" t="s">
        <v>5059</v>
      </c>
      <c r="V280" s="205">
        <v>-8792</v>
      </c>
      <c r="W280" s="111">
        <v>441.90665999999999</v>
      </c>
      <c r="X280" s="111">
        <f t="shared" si="61"/>
        <v>-3885243.3547199997</v>
      </c>
      <c r="Y280" s="36" t="s">
        <v>5060</v>
      </c>
      <c r="AI280" s="97"/>
      <c r="AJ280" s="97"/>
      <c r="AK280" s="97" t="s">
        <v>4041</v>
      </c>
      <c r="AL280" s="97"/>
      <c r="AM280" s="97"/>
      <c r="AN280" s="97" t="s">
        <v>284</v>
      </c>
      <c r="AO280" s="97" t="s">
        <v>926</v>
      </c>
    </row>
    <row r="281" spans="7:44">
      <c r="G281" s="205" t="s">
        <v>6703</v>
      </c>
      <c r="H281" s="111">
        <v>540424.560405</v>
      </c>
      <c r="R281" s="97" t="s">
        <v>4988</v>
      </c>
      <c r="S281" s="93">
        <v>500000</v>
      </c>
      <c r="T281" t="s">
        <v>25</v>
      </c>
      <c r="U281" s="205" t="s">
        <v>5066</v>
      </c>
      <c r="V281" s="205">
        <v>530</v>
      </c>
      <c r="W281" s="111">
        <v>472</v>
      </c>
      <c r="X281" s="111">
        <f t="shared" si="61"/>
        <v>250160</v>
      </c>
      <c r="Y281" s="36" t="s">
        <v>743</v>
      </c>
      <c r="AI281" s="97"/>
      <c r="AJ281" s="97"/>
      <c r="AK281" s="97"/>
      <c r="AL281" s="97"/>
      <c r="AM281" s="97"/>
      <c r="AN281" s="97"/>
      <c r="AO281" s="97"/>
    </row>
    <row r="282" spans="7:44" ht="30">
      <c r="G282" s="205" t="s">
        <v>6704</v>
      </c>
      <c r="H282" s="111">
        <v>2781712.2405709997</v>
      </c>
      <c r="R282" s="97" t="s">
        <v>5032</v>
      </c>
      <c r="S282" s="93">
        <v>400000</v>
      </c>
      <c r="T282" t="s">
        <v>25</v>
      </c>
      <c r="U282" s="205" t="s">
        <v>5066</v>
      </c>
      <c r="V282" s="205">
        <v>12</v>
      </c>
      <c r="W282" s="111">
        <v>481.86</v>
      </c>
      <c r="X282" s="111">
        <f t="shared" si="61"/>
        <v>5782.32</v>
      </c>
      <c r="Y282" s="36" t="s">
        <v>5068</v>
      </c>
      <c r="AI282" s="97"/>
      <c r="AJ282" s="97"/>
      <c r="AK282" s="97"/>
      <c r="AL282" s="97"/>
      <c r="AM282" s="97"/>
      <c r="AN282" s="97" t="s">
        <v>4042</v>
      </c>
      <c r="AO282" s="97">
        <v>1.6667000000000001E-2</v>
      </c>
    </row>
    <row r="283" spans="7:44">
      <c r="G283" s="205" t="s">
        <v>6710</v>
      </c>
      <c r="H283" s="111">
        <v>109680.86334900001</v>
      </c>
      <c r="R283" s="97" t="s">
        <v>5035</v>
      </c>
      <c r="S283" s="93">
        <v>50000</v>
      </c>
      <c r="T283" t="s">
        <v>25</v>
      </c>
      <c r="U283" s="205" t="s">
        <v>5092</v>
      </c>
      <c r="V283" s="205">
        <v>846</v>
      </c>
      <c r="W283" s="111">
        <v>472.7</v>
      </c>
      <c r="X283" s="111">
        <f t="shared" si="61"/>
        <v>399904.2</v>
      </c>
      <c r="Y283" s="36" t="s">
        <v>452</v>
      </c>
      <c r="AI283" s="97"/>
      <c r="AJ283" s="97"/>
      <c r="AK283" s="97"/>
      <c r="AL283" s="97"/>
      <c r="AM283" s="97"/>
      <c r="AN283" s="97"/>
      <c r="AO283" s="97"/>
    </row>
    <row r="284" spans="7:44">
      <c r="G284" s="205" t="s">
        <v>6731</v>
      </c>
      <c r="H284" s="111">
        <v>13945790.265610002</v>
      </c>
      <c r="R284" s="97" t="s">
        <v>5045</v>
      </c>
      <c r="S284" s="93">
        <v>300000</v>
      </c>
      <c r="U284" s="205" t="s">
        <v>5095</v>
      </c>
      <c r="V284" s="205">
        <v>191</v>
      </c>
      <c r="W284" s="111">
        <v>484.572</v>
      </c>
      <c r="X284" s="111">
        <f t="shared" si="61"/>
        <v>92553.252000000008</v>
      </c>
      <c r="Y284" s="36" t="s">
        <v>5096</v>
      </c>
      <c r="AI284" s="97"/>
      <c r="AJ284" s="97" t="s">
        <v>4043</v>
      </c>
      <c r="AK284" s="93">
        <f>AK279+AO279</f>
        <v>491551106.35131896</v>
      </c>
      <c r="AL284" s="97"/>
      <c r="AM284" s="97"/>
      <c r="AN284" s="97"/>
      <c r="AO284" s="97"/>
    </row>
    <row r="285" spans="7:44">
      <c r="G285" s="205" t="s">
        <v>6733</v>
      </c>
      <c r="H285" s="111">
        <v>457914.84466800001</v>
      </c>
      <c r="O285" t="s">
        <v>25</v>
      </c>
      <c r="R285" s="97" t="s">
        <v>5066</v>
      </c>
      <c r="S285" s="93">
        <v>250000</v>
      </c>
      <c r="U285" s="205" t="s">
        <v>5095</v>
      </c>
      <c r="V285" s="205">
        <v>-206</v>
      </c>
      <c r="W285" s="111">
        <v>484.572</v>
      </c>
      <c r="X285" s="111">
        <f t="shared" si="61"/>
        <v>-99821.831999999995</v>
      </c>
      <c r="Y285" s="36" t="s">
        <v>5098</v>
      </c>
      <c r="AJ285" t="s">
        <v>4046</v>
      </c>
      <c r="AK285" s="112">
        <f>SUM(N50:N59)</f>
        <v>7389130102</v>
      </c>
      <c r="AN285" t="s">
        <v>25</v>
      </c>
      <c r="AR285" t="s">
        <v>25</v>
      </c>
    </row>
    <row r="286" spans="7:44">
      <c r="G286" s="205" t="s">
        <v>6735</v>
      </c>
      <c r="H286" s="111">
        <v>974570.33942399989</v>
      </c>
      <c r="R286" s="97" t="s">
        <v>5099</v>
      </c>
      <c r="S286" s="93">
        <v>200000</v>
      </c>
      <c r="U286" s="205" t="s">
        <v>5099</v>
      </c>
      <c r="V286" s="205">
        <v>20685</v>
      </c>
      <c r="W286" s="111">
        <v>483.43312200000003</v>
      </c>
      <c r="X286" s="111">
        <f t="shared" si="61"/>
        <v>9999814.1285699997</v>
      </c>
      <c r="Y286" s="36" t="s">
        <v>5101</v>
      </c>
      <c r="AJ286" t="s">
        <v>4116</v>
      </c>
      <c r="AK286" s="112">
        <f>AK285-AK279</f>
        <v>7231696152.9384365</v>
      </c>
      <c r="AN286" t="s">
        <v>25</v>
      </c>
    </row>
    <row r="287" spans="7:44">
      <c r="G287" s="205" t="s">
        <v>6737</v>
      </c>
      <c r="H287" s="111">
        <v>746198.52596400003</v>
      </c>
      <c r="J287" t="s">
        <v>25</v>
      </c>
      <c r="R287" s="97" t="s">
        <v>5131</v>
      </c>
      <c r="S287" s="93">
        <v>122000</v>
      </c>
      <c r="U287" s="205" t="s">
        <v>5099</v>
      </c>
      <c r="V287" s="205">
        <v>-413</v>
      </c>
      <c r="W287" s="111">
        <v>483.40199999999999</v>
      </c>
      <c r="X287" s="111">
        <f t="shared" si="61"/>
        <v>-199645.02599999998</v>
      </c>
      <c r="Y287" s="36" t="s">
        <v>4406</v>
      </c>
      <c r="AJ287" t="s">
        <v>926</v>
      </c>
      <c r="AK287" s="112">
        <f>AO279</f>
        <v>334117157.28975499</v>
      </c>
      <c r="AO287" t="s">
        <v>25</v>
      </c>
    </row>
    <row r="288" spans="7:44">
      <c r="G288" s="205" t="s">
        <v>6739</v>
      </c>
      <c r="H288" s="111">
        <v>416108</v>
      </c>
      <c r="R288" s="97" t="s">
        <v>5139</v>
      </c>
      <c r="S288" s="93">
        <v>200000</v>
      </c>
      <c r="T288" t="s">
        <v>25</v>
      </c>
      <c r="U288" s="205" t="s">
        <v>5099</v>
      </c>
      <c r="V288" s="205">
        <v>413</v>
      </c>
      <c r="W288" s="111">
        <v>483.40199999999999</v>
      </c>
      <c r="X288" s="111">
        <f t="shared" si="61"/>
        <v>199645.02599999998</v>
      </c>
      <c r="Y288" s="36" t="s">
        <v>743</v>
      </c>
      <c r="AJ288" t="s">
        <v>4047</v>
      </c>
      <c r="AK288" s="112">
        <f>AK285-AK284</f>
        <v>6897578995.6486807</v>
      </c>
      <c r="AO288" t="s">
        <v>25</v>
      </c>
    </row>
    <row r="289" spans="7:45">
      <c r="G289" s="205" t="s">
        <v>6751</v>
      </c>
      <c r="H289" s="111">
        <v>361620.57555000001</v>
      </c>
      <c r="R289" s="97" t="s">
        <v>5149</v>
      </c>
      <c r="S289" s="93">
        <v>60000</v>
      </c>
      <c r="U289" s="205" t="s">
        <v>5104</v>
      </c>
      <c r="V289" s="205">
        <v>-828</v>
      </c>
      <c r="W289" s="111">
        <v>483.43312200000003</v>
      </c>
      <c r="X289" s="111">
        <f t="shared" si="61"/>
        <v>-400282.62501600001</v>
      </c>
      <c r="Y289" s="36" t="s">
        <v>452</v>
      </c>
      <c r="AN289" t="s">
        <v>25</v>
      </c>
    </row>
    <row r="290" spans="7:45">
      <c r="G290" s="205" t="s">
        <v>6752</v>
      </c>
      <c r="H290" s="111">
        <v>761310.51884999999</v>
      </c>
      <c r="R290" s="97" t="s">
        <v>5208</v>
      </c>
      <c r="S290" s="93">
        <v>-200000</v>
      </c>
      <c r="T290" t="s">
        <v>25</v>
      </c>
      <c r="U290" s="205" t="s">
        <v>5107</v>
      </c>
      <c r="V290" s="205">
        <v>12</v>
      </c>
      <c r="W290" s="111">
        <v>473.61898300000001</v>
      </c>
      <c r="X290" s="111">
        <f t="shared" si="61"/>
        <v>5683.4277959999999</v>
      </c>
      <c r="Y290" s="36" t="s">
        <v>452</v>
      </c>
      <c r="AK290" t="s">
        <v>25</v>
      </c>
    </row>
    <row r="291" spans="7:45">
      <c r="G291" s="205" t="s">
        <v>6754</v>
      </c>
      <c r="H291" s="111">
        <v>3047100.3041699999</v>
      </c>
      <c r="R291" s="97" t="s">
        <v>5270</v>
      </c>
      <c r="S291" s="93">
        <v>-9000000</v>
      </c>
      <c r="U291" s="205" t="s">
        <v>5110</v>
      </c>
      <c r="V291" s="205">
        <v>963</v>
      </c>
      <c r="W291" s="111">
        <v>477.92200000000003</v>
      </c>
      <c r="X291" s="111">
        <f t="shared" si="61"/>
        <v>460238.886</v>
      </c>
      <c r="Y291" s="36" t="s">
        <v>452</v>
      </c>
    </row>
    <row r="292" spans="7:45">
      <c r="G292" s="205" t="s">
        <v>6757</v>
      </c>
      <c r="H292" s="111">
        <v>2437078.451072</v>
      </c>
      <c r="I292" t="s">
        <v>25</v>
      </c>
      <c r="R292" s="97" t="s">
        <v>5327</v>
      </c>
      <c r="S292" s="93">
        <v>-26000000</v>
      </c>
      <c r="U292" s="205" t="s">
        <v>5111</v>
      </c>
      <c r="V292" s="205">
        <v>2815</v>
      </c>
      <c r="W292" s="111">
        <v>461.79</v>
      </c>
      <c r="X292" s="111">
        <f t="shared" si="61"/>
        <v>1299938.8500000001</v>
      </c>
      <c r="Y292" s="36" t="s">
        <v>452</v>
      </c>
    </row>
    <row r="293" spans="7:45">
      <c r="G293" s="205" t="s">
        <v>6837</v>
      </c>
      <c r="H293" s="111">
        <v>7747639.4065840002</v>
      </c>
      <c r="J293" t="s">
        <v>25</v>
      </c>
      <c r="K293" t="s">
        <v>25</v>
      </c>
      <c r="O293" t="s">
        <v>25</v>
      </c>
      <c r="R293" s="97" t="s">
        <v>5331</v>
      </c>
      <c r="S293" s="93">
        <v>-95900000</v>
      </c>
      <c r="U293" s="205" t="s">
        <v>5111</v>
      </c>
      <c r="V293" s="205">
        <v>1581</v>
      </c>
      <c r="W293" s="111">
        <v>461.79</v>
      </c>
      <c r="X293" s="111">
        <f t="shared" si="61"/>
        <v>730089.99</v>
      </c>
      <c r="Y293" s="36" t="s">
        <v>452</v>
      </c>
      <c r="Z293" t="s">
        <v>25</v>
      </c>
    </row>
    <row r="294" spans="7:45">
      <c r="G294" s="205" t="s">
        <v>6839</v>
      </c>
      <c r="H294" s="111">
        <v>5584918.3522559991</v>
      </c>
      <c r="R294" s="97" t="s">
        <v>5332</v>
      </c>
      <c r="S294" s="93">
        <v>-28950000</v>
      </c>
      <c r="T294" t="s">
        <v>25</v>
      </c>
      <c r="U294" s="205" t="s">
        <v>975</v>
      </c>
      <c r="V294" s="205">
        <v>41</v>
      </c>
      <c r="W294" s="111">
        <v>514.48099999999999</v>
      </c>
      <c r="X294" s="111">
        <f t="shared" si="61"/>
        <v>21093.721000000001</v>
      </c>
      <c r="Y294" s="36" t="s">
        <v>5096</v>
      </c>
    </row>
    <row r="295" spans="7:45">
      <c r="G295" s="205" t="s">
        <v>6840</v>
      </c>
      <c r="H295" s="111">
        <v>573666.77206800005</v>
      </c>
      <c r="R295" s="97" t="s">
        <v>5474</v>
      </c>
      <c r="S295" s="93">
        <v>-93000000</v>
      </c>
      <c r="T295" t="s">
        <v>25</v>
      </c>
      <c r="U295" s="205" t="s">
        <v>4253</v>
      </c>
      <c r="V295" s="205">
        <v>71</v>
      </c>
      <c r="W295" s="111">
        <v>482.57</v>
      </c>
      <c r="X295" s="111">
        <f t="shared" si="61"/>
        <v>34262.47</v>
      </c>
      <c r="Y295" s="36" t="s">
        <v>5096</v>
      </c>
      <c r="AI295" s="97" t="s">
        <v>3623</v>
      </c>
      <c r="AJ295" s="97" t="s">
        <v>180</v>
      </c>
      <c r="AK295" s="97" t="s">
        <v>267</v>
      </c>
      <c r="AL295" s="97" t="s">
        <v>4040</v>
      </c>
      <c r="AM295" s="97" t="s">
        <v>4032</v>
      </c>
      <c r="AN295" s="97" t="s">
        <v>282</v>
      </c>
      <c r="AO295" s="97" t="s">
        <v>4265</v>
      </c>
    </row>
    <row r="296" spans="7:45">
      <c r="G296" s="205" t="s">
        <v>6846</v>
      </c>
      <c r="H296" s="111">
        <v>1870018.6536539998</v>
      </c>
      <c r="J296" t="s">
        <v>25</v>
      </c>
      <c r="R296" s="97" t="s">
        <v>5483</v>
      </c>
      <c r="S296" s="93">
        <v>50000000</v>
      </c>
      <c r="U296" s="205" t="s">
        <v>5131</v>
      </c>
      <c r="V296" s="205">
        <v>-250</v>
      </c>
      <c r="W296" s="111">
        <v>487.125</v>
      </c>
      <c r="X296" s="111">
        <f t="shared" si="61"/>
        <v>-121781.25</v>
      </c>
      <c r="Y296" s="36" t="s">
        <v>4406</v>
      </c>
      <c r="AI296" s="97">
        <v>1</v>
      </c>
      <c r="AJ296" s="97" t="s">
        <v>3931</v>
      </c>
      <c r="AK296" s="115">
        <v>3555820</v>
      </c>
      <c r="AL296" s="97">
        <v>2</v>
      </c>
      <c r="AM296" s="97">
        <f>AL296+AM297</f>
        <v>991</v>
      </c>
      <c r="AN296" s="97">
        <f>AK296*AM296</f>
        <v>3523817620</v>
      </c>
      <c r="AO296" s="97" t="s">
        <v>4283</v>
      </c>
    </row>
    <row r="297" spans="7:45">
      <c r="G297" s="205" t="s">
        <v>6854</v>
      </c>
      <c r="H297" s="111">
        <v>117222.435308</v>
      </c>
      <c r="R297" s="97" t="s">
        <v>4209</v>
      </c>
      <c r="S297" s="93">
        <v>2749471.1668000002</v>
      </c>
      <c r="U297" s="205" t="s">
        <v>5131</v>
      </c>
      <c r="V297" s="205">
        <v>250</v>
      </c>
      <c r="W297" s="111">
        <v>487.125</v>
      </c>
      <c r="X297" s="111">
        <f t="shared" si="61"/>
        <v>121781.25</v>
      </c>
      <c r="Y297" s="36" t="s">
        <v>743</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6856</v>
      </c>
      <c r="H298" s="111">
        <v>1940857.6749900002</v>
      </c>
      <c r="R298" s="97" t="s">
        <v>5572</v>
      </c>
      <c r="S298" s="93">
        <v>-680940.07019999996</v>
      </c>
      <c r="U298" s="205" t="s">
        <v>5139</v>
      </c>
      <c r="V298" s="205">
        <v>-1439</v>
      </c>
      <c r="W298" s="111">
        <v>486.53068999999999</v>
      </c>
      <c r="X298" s="111">
        <f t="shared" si="61"/>
        <v>-700117.66290999996</v>
      </c>
      <c r="Y298" s="36" t="s">
        <v>4406</v>
      </c>
      <c r="AI298" s="97">
        <v>3</v>
      </c>
      <c r="AJ298" s="97" t="s">
        <v>4110</v>
      </c>
      <c r="AK298" s="115">
        <v>150000</v>
      </c>
      <c r="AL298" s="97">
        <v>3</v>
      </c>
      <c r="AM298" s="97">
        <f t="shared" si="62"/>
        <v>938</v>
      </c>
      <c r="AN298" s="97">
        <f t="shared" si="63"/>
        <v>140700000</v>
      </c>
      <c r="AO298" s="97"/>
    </row>
    <row r="299" spans="7:45">
      <c r="G299" s="205" t="s">
        <v>6888</v>
      </c>
      <c r="H299" s="111">
        <v>195324.59944799999</v>
      </c>
      <c r="R299" s="97" t="s">
        <v>5572</v>
      </c>
      <c r="S299" s="93">
        <v>-48684800.338199995</v>
      </c>
      <c r="U299" s="205" t="s">
        <v>5139</v>
      </c>
      <c r="V299" s="205">
        <v>411</v>
      </c>
      <c r="W299" s="111">
        <v>486.53068999999999</v>
      </c>
      <c r="X299" s="111">
        <f t="shared" si="61"/>
        <v>199964.11358999999</v>
      </c>
      <c r="Y299" s="36" t="s">
        <v>743</v>
      </c>
      <c r="Z299" t="s">
        <v>25</v>
      </c>
      <c r="AI299" s="97">
        <v>4</v>
      </c>
      <c r="AJ299" s="97" t="s">
        <v>4125</v>
      </c>
      <c r="AK299" s="115">
        <v>-95000</v>
      </c>
      <c r="AL299" s="97">
        <v>8</v>
      </c>
      <c r="AM299" s="97">
        <f t="shared" si="62"/>
        <v>935</v>
      </c>
      <c r="AN299" s="97">
        <f t="shared" si="63"/>
        <v>-88825000</v>
      </c>
      <c r="AO299" s="97"/>
    </row>
    <row r="300" spans="7:45">
      <c r="G300" s="205" t="s">
        <v>6888</v>
      </c>
      <c r="H300" s="111">
        <v>20318581.172208</v>
      </c>
      <c r="R300" s="97" t="s">
        <v>5596</v>
      </c>
      <c r="S300" s="93">
        <v>1500000</v>
      </c>
      <c r="T300" t="s">
        <v>25</v>
      </c>
      <c r="U300" s="205" t="s">
        <v>5109</v>
      </c>
      <c r="V300" s="205">
        <v>-4290</v>
      </c>
      <c r="W300" s="111">
        <v>497.57670000000002</v>
      </c>
      <c r="X300" s="111">
        <f t="shared" si="61"/>
        <v>-2134604.0430000001</v>
      </c>
      <c r="Y300" s="36" t="s">
        <v>452</v>
      </c>
      <c r="AI300" s="97">
        <v>5</v>
      </c>
      <c r="AJ300" s="97" t="s">
        <v>4149</v>
      </c>
      <c r="AK300" s="115">
        <v>3150000</v>
      </c>
      <c r="AL300" s="97">
        <v>16</v>
      </c>
      <c r="AM300" s="97">
        <f t="shared" si="62"/>
        <v>927</v>
      </c>
      <c r="AN300" s="97">
        <f t="shared" si="63"/>
        <v>2920050000</v>
      </c>
      <c r="AO300" s="97"/>
      <c r="AS300" t="s">
        <v>25</v>
      </c>
    </row>
    <row r="301" spans="7:45">
      <c r="G301" s="205" t="s">
        <v>6890</v>
      </c>
      <c r="H301" s="111">
        <v>2893976.613864</v>
      </c>
      <c r="O301" t="s">
        <v>25</v>
      </c>
      <c r="R301" s="97" t="s">
        <v>963</v>
      </c>
      <c r="S301" s="93">
        <v>11221062</v>
      </c>
      <c r="T301" t="s">
        <v>25</v>
      </c>
      <c r="U301" s="205" t="s">
        <v>5146</v>
      </c>
      <c r="V301" s="205">
        <v>-644</v>
      </c>
      <c r="W301" s="111">
        <v>494.76464499999997</v>
      </c>
      <c r="X301" s="111">
        <f t="shared" si="61"/>
        <v>-318628.43137999997</v>
      </c>
      <c r="Y301" s="36" t="s">
        <v>452</v>
      </c>
      <c r="AI301" s="97">
        <v>6</v>
      </c>
      <c r="AJ301" s="97" t="s">
        <v>4214</v>
      </c>
      <c r="AK301" s="115">
        <v>-65000</v>
      </c>
      <c r="AL301" s="97">
        <v>1</v>
      </c>
      <c r="AM301" s="97">
        <f t="shared" si="62"/>
        <v>911</v>
      </c>
      <c r="AN301" s="97">
        <f t="shared" si="63"/>
        <v>-59215000</v>
      </c>
      <c r="AO301" s="97"/>
    </row>
    <row r="302" spans="7:45">
      <c r="G302" s="205" t="s">
        <v>6891</v>
      </c>
      <c r="H302" s="111">
        <v>348175.86130300001</v>
      </c>
      <c r="R302" s="97" t="s">
        <v>5802</v>
      </c>
      <c r="S302" s="93">
        <v>20031495.928431001</v>
      </c>
      <c r="U302" s="205" t="s">
        <v>5149</v>
      </c>
      <c r="V302" s="205">
        <v>-112</v>
      </c>
      <c r="W302" s="111">
        <v>485.78</v>
      </c>
      <c r="X302" s="111">
        <f t="shared" si="61"/>
        <v>-54407.360000000001</v>
      </c>
      <c r="Y302" s="36" t="s">
        <v>452</v>
      </c>
      <c r="AI302" s="97">
        <v>7</v>
      </c>
      <c r="AJ302" s="97" t="s">
        <v>4285</v>
      </c>
      <c r="AK302" s="115">
        <v>-95000</v>
      </c>
      <c r="AL302" s="97">
        <v>6</v>
      </c>
      <c r="AM302" s="97">
        <f t="shared" si="62"/>
        <v>910</v>
      </c>
      <c r="AN302" s="97">
        <f t="shared" si="63"/>
        <v>-86450000</v>
      </c>
      <c r="AO302" s="97"/>
    </row>
    <row r="303" spans="7:45">
      <c r="G303" s="205" t="s">
        <v>6896</v>
      </c>
      <c r="H303" s="111">
        <v>315280.48550000001</v>
      </c>
      <c r="P303" t="s">
        <v>25</v>
      </c>
      <c r="R303" s="97" t="s">
        <v>5813</v>
      </c>
      <c r="S303" s="93">
        <v>-154353015.43906799</v>
      </c>
      <c r="T303" t="s">
        <v>25</v>
      </c>
      <c r="U303" s="205" t="s">
        <v>5149</v>
      </c>
      <c r="V303" s="205">
        <v>123</v>
      </c>
      <c r="W303" s="111">
        <v>485.78</v>
      </c>
      <c r="X303" s="111">
        <f t="shared" si="61"/>
        <v>59750.939999999995</v>
      </c>
      <c r="Y303" s="36" t="s">
        <v>743</v>
      </c>
      <c r="AI303" s="97">
        <v>8</v>
      </c>
      <c r="AJ303" s="97" t="s">
        <v>4286</v>
      </c>
      <c r="AK303" s="115">
        <v>232000</v>
      </c>
      <c r="AL303" s="97">
        <v>7</v>
      </c>
      <c r="AM303" s="97">
        <f t="shared" si="62"/>
        <v>904</v>
      </c>
      <c r="AN303" s="97">
        <f t="shared" si="63"/>
        <v>209728000</v>
      </c>
      <c r="AO303" s="97"/>
    </row>
    <row r="304" spans="7:45">
      <c r="G304" s="205" t="s">
        <v>6900</v>
      </c>
      <c r="H304" s="111">
        <v>184045.65498799999</v>
      </c>
      <c r="R304" s="97" t="s">
        <v>5832</v>
      </c>
      <c r="S304" s="93">
        <v>16643927.89773</v>
      </c>
      <c r="T304" t="s">
        <v>25</v>
      </c>
      <c r="U304" s="205" t="s">
        <v>5149</v>
      </c>
      <c r="V304" s="205">
        <v>-123</v>
      </c>
      <c r="W304" s="111">
        <v>485.78</v>
      </c>
      <c r="X304" s="111">
        <f t="shared" si="61"/>
        <v>-59750.939999999995</v>
      </c>
      <c r="Y304" s="36" t="s">
        <v>4406</v>
      </c>
      <c r="AI304" s="97">
        <v>9</v>
      </c>
      <c r="AJ304" s="97" t="s">
        <v>4264</v>
      </c>
      <c r="AK304" s="115">
        <v>13000000</v>
      </c>
      <c r="AL304" s="97">
        <v>2</v>
      </c>
      <c r="AM304" s="97">
        <f t="shared" si="62"/>
        <v>897</v>
      </c>
      <c r="AN304" s="97">
        <f t="shared" si="63"/>
        <v>11661000000</v>
      </c>
      <c r="AO304" s="97"/>
    </row>
    <row r="305" spans="7:41">
      <c r="G305" s="445" t="s">
        <v>6921</v>
      </c>
      <c r="H305" s="446">
        <v>3224064.2855249997</v>
      </c>
      <c r="J305" t="s">
        <v>25</v>
      </c>
      <c r="R305" s="97" t="s">
        <v>5833</v>
      </c>
      <c r="S305" s="93">
        <v>33355467.51292</v>
      </c>
      <c r="U305" s="205" t="s">
        <v>5192</v>
      </c>
      <c r="V305" s="205">
        <v>32367</v>
      </c>
      <c r="W305" s="111">
        <v>556.12900000000002</v>
      </c>
      <c r="X305" s="111">
        <f t="shared" si="61"/>
        <v>18000227.343000002</v>
      </c>
      <c r="Y305" s="36" t="s">
        <v>452</v>
      </c>
      <c r="AI305" s="97">
        <v>10</v>
      </c>
      <c r="AJ305" s="97" t="s">
        <v>4287</v>
      </c>
      <c r="AK305" s="115">
        <v>10000000</v>
      </c>
      <c r="AL305" s="97">
        <v>3</v>
      </c>
      <c r="AM305" s="97">
        <f t="shared" si="62"/>
        <v>895</v>
      </c>
      <c r="AN305" s="97">
        <f t="shared" si="63"/>
        <v>8950000000</v>
      </c>
      <c r="AO305" s="97"/>
    </row>
    <row r="306" spans="7:41">
      <c r="G306" s="205" t="s">
        <v>6925</v>
      </c>
      <c r="H306" s="111">
        <v>145302.32212200001</v>
      </c>
      <c r="R306" s="97" t="s">
        <v>6183</v>
      </c>
      <c r="S306" s="93">
        <v>30000000</v>
      </c>
      <c r="T306" t="s">
        <v>25</v>
      </c>
      <c r="U306" s="205" t="s">
        <v>5208</v>
      </c>
      <c r="V306" s="205">
        <v>1254</v>
      </c>
      <c r="W306" s="111">
        <v>558.24400000000003</v>
      </c>
      <c r="X306" s="111">
        <f t="shared" si="61"/>
        <v>700037.97600000002</v>
      </c>
      <c r="Y306" s="36" t="s">
        <v>4406</v>
      </c>
      <c r="AI306" s="97">
        <v>11</v>
      </c>
      <c r="AJ306" s="97" t="s">
        <v>4276</v>
      </c>
      <c r="AK306" s="115">
        <v>3400000</v>
      </c>
      <c r="AL306" s="97">
        <v>9</v>
      </c>
      <c r="AM306" s="97">
        <f t="shared" si="62"/>
        <v>892</v>
      </c>
      <c r="AN306" s="97">
        <f t="shared" si="63"/>
        <v>3032800000</v>
      </c>
      <c r="AO306" s="97"/>
    </row>
    <row r="307" spans="7:41">
      <c r="G307" s="205" t="s">
        <v>6927</v>
      </c>
      <c r="H307" s="111">
        <v>7184125.4612399992</v>
      </c>
      <c r="R307" s="97" t="s">
        <v>6196</v>
      </c>
      <c r="S307" s="93">
        <v>6000000</v>
      </c>
      <c r="U307" s="166" t="s">
        <v>5208</v>
      </c>
      <c r="V307" s="205">
        <v>-358</v>
      </c>
      <c r="W307" s="111">
        <v>558.24400000000003</v>
      </c>
      <c r="X307" s="111">
        <f t="shared" si="61"/>
        <v>-199851.35200000001</v>
      </c>
      <c r="Y307" s="36" t="s">
        <v>743</v>
      </c>
      <c r="AA307" t="s">
        <v>25</v>
      </c>
      <c r="AI307" s="97">
        <v>12</v>
      </c>
      <c r="AJ307" s="97" t="s">
        <v>4313</v>
      </c>
      <c r="AK307" s="115">
        <v>-8736514</v>
      </c>
      <c r="AL307" s="97">
        <v>1</v>
      </c>
      <c r="AM307" s="97">
        <f>AL307+AM308</f>
        <v>883</v>
      </c>
      <c r="AN307" s="97">
        <f t="shared" si="63"/>
        <v>-7714341862</v>
      </c>
      <c r="AO307" s="97"/>
    </row>
    <row r="308" spans="7:41">
      <c r="G308" s="205" t="s">
        <v>6930</v>
      </c>
      <c r="H308" s="111">
        <v>8260484.4756000005</v>
      </c>
      <c r="O308" t="s">
        <v>25</v>
      </c>
      <c r="R308" s="97" t="s">
        <v>6273</v>
      </c>
      <c r="S308" s="93">
        <v>126128.77475900001</v>
      </c>
      <c r="U308" s="187" t="s">
        <v>5227</v>
      </c>
      <c r="V308" s="187">
        <v>63259</v>
      </c>
      <c r="W308" s="186">
        <v>632.31960000000004</v>
      </c>
      <c r="X308" s="186">
        <f t="shared" si="61"/>
        <v>39999905.576400004</v>
      </c>
      <c r="Y308" s="258" t="s">
        <v>1069</v>
      </c>
      <c r="AI308" s="97">
        <v>13</v>
      </c>
      <c r="AJ308" s="97" t="s">
        <v>4314</v>
      </c>
      <c r="AK308" s="115">
        <v>555000</v>
      </c>
      <c r="AL308" s="97">
        <v>5</v>
      </c>
      <c r="AM308" s="97">
        <f t="shared" ref="AM308:AM324" si="64">AL308+AM309</f>
        <v>882</v>
      </c>
      <c r="AN308" s="97">
        <f t="shared" si="63"/>
        <v>489510000</v>
      </c>
      <c r="AO308" s="97"/>
    </row>
    <row r="309" spans="7:41">
      <c r="G309" s="205" t="s">
        <v>6931</v>
      </c>
      <c r="H309" s="111">
        <v>2791202.6544840001</v>
      </c>
      <c r="R309" s="97" t="s">
        <v>6840</v>
      </c>
      <c r="S309" s="93">
        <v>7000000</v>
      </c>
      <c r="U309" s="19" t="s">
        <v>5231</v>
      </c>
      <c r="V309" s="19">
        <v>-1278</v>
      </c>
      <c r="W309" s="115">
        <v>625.98</v>
      </c>
      <c r="X309" s="115">
        <f t="shared" si="61"/>
        <v>-800002.44000000006</v>
      </c>
      <c r="Y309" s="259" t="s">
        <v>5232</v>
      </c>
      <c r="AI309" s="97">
        <v>14</v>
      </c>
      <c r="AJ309" s="97" t="s">
        <v>4338</v>
      </c>
      <c r="AK309" s="115">
        <v>-448308</v>
      </c>
      <c r="AL309" s="97">
        <v>6</v>
      </c>
      <c r="AM309" s="97">
        <f t="shared" si="64"/>
        <v>877</v>
      </c>
      <c r="AN309" s="97">
        <f t="shared" si="63"/>
        <v>-393166116</v>
      </c>
      <c r="AO309" s="97"/>
    </row>
    <row r="310" spans="7:41">
      <c r="G310" s="205" t="s">
        <v>6932</v>
      </c>
      <c r="H310" s="111">
        <v>248142.0681</v>
      </c>
      <c r="R310" s="97" t="s">
        <v>6964</v>
      </c>
      <c r="S310" s="93">
        <v>-450269000</v>
      </c>
      <c r="T310" t="s">
        <v>25</v>
      </c>
      <c r="U310" s="19" t="s">
        <v>5236</v>
      </c>
      <c r="V310" s="19">
        <v>32049</v>
      </c>
      <c r="W310" s="115">
        <v>624.04600000000005</v>
      </c>
      <c r="X310" s="115">
        <f t="shared" si="61"/>
        <v>20000050.254000001</v>
      </c>
      <c r="Y310" s="259" t="s">
        <v>5101</v>
      </c>
      <c r="AA310" t="s">
        <v>25</v>
      </c>
      <c r="AI310" s="97">
        <v>15</v>
      </c>
      <c r="AJ310" s="97" t="s">
        <v>4365</v>
      </c>
      <c r="AK310" s="115">
        <v>33225</v>
      </c>
      <c r="AL310" s="97">
        <v>0</v>
      </c>
      <c r="AM310" s="97">
        <f t="shared" si="64"/>
        <v>871</v>
      </c>
      <c r="AN310" s="97">
        <f t="shared" si="63"/>
        <v>28938975</v>
      </c>
      <c r="AO310" s="97"/>
    </row>
    <row r="311" spans="7:41" ht="30">
      <c r="G311" s="205" t="s">
        <v>6964</v>
      </c>
      <c r="H311" s="111">
        <v>3374278.1910000001</v>
      </c>
      <c r="J311" t="s">
        <v>25</v>
      </c>
      <c r="R311" s="97" t="s">
        <v>6973</v>
      </c>
      <c r="S311" s="93">
        <v>50000000</v>
      </c>
      <c r="U311" s="19" t="s">
        <v>5243</v>
      </c>
      <c r="V311" s="19">
        <v>45094</v>
      </c>
      <c r="W311" s="115">
        <v>614.13559759999998</v>
      </c>
      <c r="X311" s="115">
        <f t="shared" si="61"/>
        <v>27693830.6381744</v>
      </c>
      <c r="Y311" s="259" t="s">
        <v>5245</v>
      </c>
      <c r="Z311" t="s">
        <v>25</v>
      </c>
      <c r="AI311" s="147">
        <v>16</v>
      </c>
      <c r="AJ311" s="147" t="s">
        <v>4365</v>
      </c>
      <c r="AK311" s="186">
        <v>4098523</v>
      </c>
      <c r="AL311" s="147">
        <v>2</v>
      </c>
      <c r="AM311" s="147">
        <f t="shared" si="64"/>
        <v>871</v>
      </c>
      <c r="AN311" s="147">
        <f t="shared" si="63"/>
        <v>3569813533</v>
      </c>
      <c r="AO311" s="147" t="s">
        <v>649</v>
      </c>
    </row>
    <row r="312" spans="7:41">
      <c r="G312" s="205"/>
      <c r="H312" s="111"/>
      <c r="J312" t="s">
        <v>25</v>
      </c>
      <c r="R312" s="97" t="s">
        <v>6983</v>
      </c>
      <c r="S312" s="93">
        <v>50000000</v>
      </c>
      <c r="U312" s="19" t="s">
        <v>5270</v>
      </c>
      <c r="V312" s="19">
        <v>-11804</v>
      </c>
      <c r="W312" s="115">
        <v>762.46640000000002</v>
      </c>
      <c r="X312" s="115">
        <f t="shared" si="61"/>
        <v>-9000153.3856000006</v>
      </c>
      <c r="Y312" s="259" t="s">
        <v>5272</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6985</v>
      </c>
      <c r="S313" s="93">
        <v>50000000</v>
      </c>
      <c r="T313" t="s">
        <v>25</v>
      </c>
      <c r="U313" s="19" t="s">
        <v>5313</v>
      </c>
      <c r="V313" s="19">
        <v>844</v>
      </c>
      <c r="W313" s="115">
        <v>830</v>
      </c>
      <c r="X313" s="115">
        <f t="shared" si="61"/>
        <v>700520</v>
      </c>
      <c r="Y313" s="259" t="s">
        <v>4406</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6986</v>
      </c>
      <c r="S314" s="93">
        <v>50000000</v>
      </c>
      <c r="U314" s="19" t="s">
        <v>5317</v>
      </c>
      <c r="V314" s="19">
        <v>8662</v>
      </c>
      <c r="W314" s="115">
        <v>832.57011999999997</v>
      </c>
      <c r="X314" s="115">
        <f t="shared" si="61"/>
        <v>7211722.3794399993</v>
      </c>
      <c r="Y314" s="259" t="s">
        <v>5096</v>
      </c>
      <c r="AA314" t="s">
        <v>25</v>
      </c>
      <c r="AI314" s="191">
        <v>19</v>
      </c>
      <c r="AJ314" s="191" t="s">
        <v>4397</v>
      </c>
      <c r="AK314" s="192">
        <v>-604152</v>
      </c>
      <c r="AL314" s="191">
        <v>0</v>
      </c>
      <c r="AM314" s="191">
        <f t="shared" si="64"/>
        <v>861</v>
      </c>
      <c r="AN314" s="191">
        <f t="shared" si="63"/>
        <v>-520174872</v>
      </c>
      <c r="AO314" s="191" t="s">
        <v>649</v>
      </c>
    </row>
    <row r="315" spans="7:41" ht="30">
      <c r="G315" s="205"/>
      <c r="H315" s="111" t="s">
        <v>25</v>
      </c>
      <c r="J315" t="s">
        <v>25</v>
      </c>
      <c r="R315" s="97" t="s">
        <v>6987</v>
      </c>
      <c r="S315" s="93">
        <v>100000000</v>
      </c>
      <c r="U315" s="19" t="s">
        <v>5318</v>
      </c>
      <c r="V315" s="19">
        <v>10253</v>
      </c>
      <c r="W315" s="115">
        <v>827.2568</v>
      </c>
      <c r="X315" s="115">
        <f t="shared" si="61"/>
        <v>8481863.9704</v>
      </c>
      <c r="Y315" s="259" t="s">
        <v>5321</v>
      </c>
      <c r="AB315" t="s">
        <v>25</v>
      </c>
      <c r="AI315" s="97">
        <v>20</v>
      </c>
      <c r="AJ315" s="97" t="s">
        <v>4398</v>
      </c>
      <c r="AK315" s="115">
        <v>-587083</v>
      </c>
      <c r="AL315" s="97">
        <v>4</v>
      </c>
      <c r="AM315" s="97">
        <f t="shared" si="64"/>
        <v>861</v>
      </c>
      <c r="AN315" s="97">
        <f t="shared" si="63"/>
        <v>-505478463</v>
      </c>
      <c r="AO315" s="97"/>
    </row>
    <row r="316" spans="7:41">
      <c r="G316" s="205" t="s">
        <v>5470</v>
      </c>
      <c r="H316" s="111">
        <v>-87000000</v>
      </c>
      <c r="R316" s="97"/>
      <c r="S316" s="93"/>
      <c r="U316" s="229" t="s">
        <v>5322</v>
      </c>
      <c r="V316" s="229">
        <v>-33077</v>
      </c>
      <c r="W316" s="230">
        <v>786.02973999999995</v>
      </c>
      <c r="X316" s="230">
        <f t="shared" si="61"/>
        <v>-25999505.70998</v>
      </c>
      <c r="Y316" s="267" t="s">
        <v>5324</v>
      </c>
      <c r="AI316" s="191">
        <v>21</v>
      </c>
      <c r="AJ316" s="191" t="s">
        <v>4399</v>
      </c>
      <c r="AK316" s="192">
        <v>-754351</v>
      </c>
      <c r="AL316" s="191">
        <v>0</v>
      </c>
      <c r="AM316" s="147">
        <f t="shared" si="64"/>
        <v>857</v>
      </c>
      <c r="AN316" s="191">
        <f t="shared" si="63"/>
        <v>-646478807</v>
      </c>
      <c r="AO316" s="191" t="s">
        <v>649</v>
      </c>
    </row>
    <row r="317" spans="7:41">
      <c r="G317" s="205"/>
      <c r="H317" s="111"/>
      <c r="R317" s="97" t="s">
        <v>25</v>
      </c>
      <c r="S317" s="93"/>
      <c r="U317" s="19" t="s">
        <v>5322</v>
      </c>
      <c r="V317" s="19">
        <v>-33077</v>
      </c>
      <c r="W317" s="115">
        <v>786.02973999999995</v>
      </c>
      <c r="X317" s="115">
        <f t="shared" si="61"/>
        <v>-25999505.70998</v>
      </c>
      <c r="Y317" s="259" t="s">
        <v>5325</v>
      </c>
      <c r="Z317" t="s">
        <v>25</v>
      </c>
      <c r="AI317" s="97">
        <v>22</v>
      </c>
      <c r="AJ317" s="97" t="s">
        <v>4399</v>
      </c>
      <c r="AK317" s="115">
        <v>-189619</v>
      </c>
      <c r="AL317" s="97">
        <v>15</v>
      </c>
      <c r="AM317" s="97">
        <f t="shared" si="64"/>
        <v>857</v>
      </c>
      <c r="AN317" s="97">
        <f t="shared" si="63"/>
        <v>-162503483</v>
      </c>
      <c r="AO317" s="97"/>
    </row>
    <row r="318" spans="7:41">
      <c r="G318" s="205"/>
      <c r="H318" s="1"/>
      <c r="R318" s="97"/>
      <c r="S318" s="93"/>
      <c r="U318" s="19" t="s">
        <v>5322</v>
      </c>
      <c r="V318" s="19">
        <v>1983</v>
      </c>
      <c r="W318" s="115">
        <v>786.02973999999995</v>
      </c>
      <c r="X318" s="115">
        <f t="shared" si="61"/>
        <v>1558696.9744199999</v>
      </c>
      <c r="Y318" s="259" t="s">
        <v>5096</v>
      </c>
      <c r="AI318" s="191">
        <v>23</v>
      </c>
      <c r="AJ318" s="191" t="s">
        <v>4459</v>
      </c>
      <c r="AK318" s="186">
        <v>7100</v>
      </c>
      <c r="AL318" s="191">
        <v>0</v>
      </c>
      <c r="AM318" s="147">
        <f t="shared" si="64"/>
        <v>842</v>
      </c>
      <c r="AN318" s="191">
        <f t="shared" si="63"/>
        <v>5978200</v>
      </c>
      <c r="AO318" s="191" t="s">
        <v>649</v>
      </c>
    </row>
    <row r="319" spans="7:41">
      <c r="G319" s="205"/>
      <c r="H319" s="1"/>
      <c r="R319" s="97"/>
      <c r="S319" s="93"/>
      <c r="U319" s="229" t="s">
        <v>5326</v>
      </c>
      <c r="V319" s="229">
        <v>-119753</v>
      </c>
      <c r="W319" s="230">
        <v>800.81560000000002</v>
      </c>
      <c r="X319" s="230">
        <f t="shared" si="61"/>
        <v>-95900070.546800002</v>
      </c>
      <c r="Y319" s="267" t="s">
        <v>5324</v>
      </c>
      <c r="AI319" s="20">
        <v>24</v>
      </c>
      <c r="AJ319" s="20" t="s">
        <v>4459</v>
      </c>
      <c r="AK319" s="115">
        <v>-147902</v>
      </c>
      <c r="AL319" s="20">
        <v>3</v>
      </c>
      <c r="AM319" s="97">
        <f t="shared" si="64"/>
        <v>842</v>
      </c>
      <c r="AN319" s="20">
        <f t="shared" si="63"/>
        <v>-124533484</v>
      </c>
      <c r="AO319" s="20"/>
    </row>
    <row r="320" spans="7:41">
      <c r="G320" s="205"/>
      <c r="H320" s="1"/>
      <c r="R320" s="97" t="s">
        <v>25</v>
      </c>
      <c r="S320" s="93"/>
      <c r="U320" s="19" t="s">
        <v>5326</v>
      </c>
      <c r="V320" s="19">
        <v>-119753</v>
      </c>
      <c r="W320" s="115">
        <v>800.81560000000002</v>
      </c>
      <c r="X320" s="115">
        <f t="shared" si="61"/>
        <v>-95900070.546800002</v>
      </c>
      <c r="Y320" s="259" t="s">
        <v>5325</v>
      </c>
      <c r="AI320" s="147">
        <v>25</v>
      </c>
      <c r="AJ320" s="147" t="s">
        <v>4467</v>
      </c>
      <c r="AK320" s="186">
        <v>-37200</v>
      </c>
      <c r="AL320" s="147">
        <v>4</v>
      </c>
      <c r="AM320" s="147">
        <f t="shared" si="64"/>
        <v>839</v>
      </c>
      <c r="AN320" s="191">
        <f t="shared" si="63"/>
        <v>-31210800</v>
      </c>
      <c r="AO320" s="147" t="s">
        <v>649</v>
      </c>
    </row>
    <row r="321" spans="7:45">
      <c r="G321" s="205" t="s">
        <v>6</v>
      </c>
      <c r="H321" s="1">
        <f>SUM(H152:H320)</f>
        <v>1585101826.1871939</v>
      </c>
      <c r="R321" s="97"/>
      <c r="S321" s="93">
        <f>SUM(S251:S320)</f>
        <v>8573622.4331719875</v>
      </c>
      <c r="U321" s="19" t="s">
        <v>5326</v>
      </c>
      <c r="V321" s="19">
        <v>11291</v>
      </c>
      <c r="W321" s="115">
        <v>800.81560000000002</v>
      </c>
      <c r="X321" s="115">
        <f t="shared" si="61"/>
        <v>9042008.9396000002</v>
      </c>
      <c r="Y321" s="259" t="s">
        <v>452</v>
      </c>
      <c r="AB321" t="s">
        <v>25</v>
      </c>
      <c r="AI321" s="97">
        <v>26</v>
      </c>
      <c r="AJ321" s="97" t="s">
        <v>4494</v>
      </c>
      <c r="AK321" s="115">
        <v>-372326</v>
      </c>
      <c r="AL321" s="97">
        <v>21</v>
      </c>
      <c r="AM321" s="97">
        <f t="shared" si="64"/>
        <v>835</v>
      </c>
      <c r="AN321" s="20">
        <f t="shared" si="63"/>
        <v>-310892210</v>
      </c>
      <c r="AO321" s="97"/>
    </row>
    <row r="322" spans="7:45">
      <c r="G322" s="278"/>
      <c r="H322" s="1"/>
      <c r="S322" s="97" t="s">
        <v>6</v>
      </c>
      <c r="U322" s="187" t="s">
        <v>5327</v>
      </c>
      <c r="V322" s="187">
        <v>-35361</v>
      </c>
      <c r="W322" s="186">
        <v>818.697</v>
      </c>
      <c r="X322" s="186">
        <f t="shared" si="61"/>
        <v>-28949944.616999999</v>
      </c>
      <c r="Y322" s="258" t="s">
        <v>5324</v>
      </c>
      <c r="Z322" t="s">
        <v>25</v>
      </c>
      <c r="AI322" s="97">
        <v>27</v>
      </c>
      <c r="AJ322" s="97" t="s">
        <v>4541</v>
      </c>
      <c r="AK322" s="115">
        <v>235062</v>
      </c>
      <c r="AL322" s="97">
        <v>0</v>
      </c>
      <c r="AM322" s="97">
        <f t="shared" si="64"/>
        <v>814</v>
      </c>
      <c r="AN322" s="20">
        <f t="shared" si="63"/>
        <v>191340468</v>
      </c>
      <c r="AO322" s="97"/>
    </row>
    <row r="323" spans="7:45">
      <c r="S323" t="s">
        <v>25</v>
      </c>
      <c r="U323" s="19" t="s">
        <v>5327</v>
      </c>
      <c r="V323" s="19">
        <v>-35361</v>
      </c>
      <c r="W323" s="115">
        <v>818.697</v>
      </c>
      <c r="X323" s="115">
        <f t="shared" si="61"/>
        <v>-28949944.616999999</v>
      </c>
      <c r="Y323" s="259" t="s">
        <v>5325</v>
      </c>
      <c r="Z323" t="s">
        <v>25</v>
      </c>
      <c r="AA323" t="s">
        <v>25</v>
      </c>
      <c r="AI323" s="147">
        <v>28</v>
      </c>
      <c r="AJ323" s="147" t="s">
        <v>4541</v>
      </c>
      <c r="AK323" s="186">
        <v>235062</v>
      </c>
      <c r="AL323" s="147">
        <v>9</v>
      </c>
      <c r="AM323" s="97">
        <f t="shared" si="64"/>
        <v>814</v>
      </c>
      <c r="AN323" s="147">
        <f t="shared" si="63"/>
        <v>191340468</v>
      </c>
      <c r="AO323" s="147" t="s">
        <v>649</v>
      </c>
    </row>
    <row r="324" spans="7:45">
      <c r="R324" s="97" t="s">
        <v>452</v>
      </c>
      <c r="U324" s="19" t="s">
        <v>5327</v>
      </c>
      <c r="V324" s="19">
        <v>116</v>
      </c>
      <c r="W324" s="115">
        <v>818.697</v>
      </c>
      <c r="X324" s="115">
        <f t="shared" si="61"/>
        <v>94968.851999999999</v>
      </c>
      <c r="Y324" s="259" t="s">
        <v>5096</v>
      </c>
      <c r="AI324" s="147">
        <v>29</v>
      </c>
      <c r="AJ324" s="147" t="s">
        <v>4559</v>
      </c>
      <c r="AK324" s="186">
        <v>450000</v>
      </c>
      <c r="AL324" s="147">
        <v>0</v>
      </c>
      <c r="AM324" s="97">
        <f t="shared" si="64"/>
        <v>805</v>
      </c>
      <c r="AN324" s="147">
        <f t="shared" si="63"/>
        <v>362250000</v>
      </c>
      <c r="AO324" s="147" t="s">
        <v>649</v>
      </c>
    </row>
    <row r="325" spans="7:45">
      <c r="G325" s="94"/>
      <c r="H325" s="9" t="s">
        <v>452</v>
      </c>
      <c r="R325" s="97" t="s">
        <v>4399</v>
      </c>
      <c r="S325" s="97"/>
      <c r="U325" s="19" t="s">
        <v>5331</v>
      </c>
      <c r="V325" s="19">
        <v>48633</v>
      </c>
      <c r="W325" s="115">
        <v>822.47199999999998</v>
      </c>
      <c r="X325" s="115">
        <f t="shared" si="61"/>
        <v>39999280.776000001</v>
      </c>
      <c r="Y325" s="259" t="s">
        <v>5334</v>
      </c>
      <c r="AB325" t="s">
        <v>25</v>
      </c>
      <c r="AI325" s="20">
        <v>30</v>
      </c>
      <c r="AJ325" s="20" t="s">
        <v>4559</v>
      </c>
      <c r="AK325" s="115">
        <v>450000</v>
      </c>
      <c r="AL325" s="20">
        <v>22</v>
      </c>
      <c r="AM325" s="97">
        <f>AL325+AM326</f>
        <v>805</v>
      </c>
      <c r="AN325" s="20">
        <f t="shared" si="63"/>
        <v>362250000</v>
      </c>
      <c r="AO325" s="20"/>
    </row>
    <row r="326" spans="7:45">
      <c r="G326" s="94"/>
      <c r="H326" s="9" t="s">
        <v>743</v>
      </c>
      <c r="R326" s="97" t="s">
        <v>4443</v>
      </c>
      <c r="S326" s="93">
        <v>63115000</v>
      </c>
      <c r="T326" s="112"/>
      <c r="U326" s="19" t="s">
        <v>5331</v>
      </c>
      <c r="V326" s="19">
        <v>3412</v>
      </c>
      <c r="W326" s="115">
        <v>822.47199999999998</v>
      </c>
      <c r="X326" s="115">
        <f t="shared" si="61"/>
        <v>2806274.4640000002</v>
      </c>
      <c r="Y326" s="259" t="s">
        <v>5336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4451</v>
      </c>
      <c r="S327" s="93">
        <v>13300000</v>
      </c>
      <c r="U327" s="19" t="s">
        <v>5332</v>
      </c>
      <c r="V327" s="19">
        <v>1531</v>
      </c>
      <c r="W327" s="115">
        <v>869.82500000000005</v>
      </c>
      <c r="X327" s="115">
        <f t="shared" si="61"/>
        <v>1331702.075</v>
      </c>
      <c r="Y327" s="259" t="s">
        <v>5337</v>
      </c>
      <c r="AI327" s="119">
        <v>32</v>
      </c>
      <c r="AJ327" s="119" t="s">
        <v>4619</v>
      </c>
      <c r="AK327" s="77">
        <v>288936</v>
      </c>
      <c r="AL327" s="119">
        <v>3</v>
      </c>
      <c r="AM327" s="119">
        <f t="shared" si="65"/>
        <v>783</v>
      </c>
      <c r="AN327" s="119">
        <f t="shared" si="66"/>
        <v>226236888</v>
      </c>
      <c r="AO327" s="200" t="s">
        <v>4630</v>
      </c>
    </row>
    <row r="328" spans="7:45">
      <c r="G328" s="94"/>
      <c r="H328" s="9" t="s">
        <v>1069</v>
      </c>
      <c r="R328" s="97" t="s">
        <v>4549</v>
      </c>
      <c r="S328" s="93">
        <v>2269000</v>
      </c>
      <c r="U328" s="19" t="s">
        <v>5340</v>
      </c>
      <c r="V328" s="19">
        <v>1019</v>
      </c>
      <c r="W328" s="115">
        <v>835.36580000000004</v>
      </c>
      <c r="X328" s="115">
        <f t="shared" si="61"/>
        <v>851237.75020000001</v>
      </c>
      <c r="Y328" s="259" t="s">
        <v>452</v>
      </c>
      <c r="AI328" s="119">
        <v>33</v>
      </c>
      <c r="AJ328" s="119" t="s">
        <v>4628</v>
      </c>
      <c r="AK328" s="77">
        <v>17962491</v>
      </c>
      <c r="AL328" s="119">
        <v>1</v>
      </c>
      <c r="AM328" s="119">
        <f t="shared" si="65"/>
        <v>780</v>
      </c>
      <c r="AN328" s="119">
        <f t="shared" si="66"/>
        <v>14010742980</v>
      </c>
      <c r="AO328" s="119" t="s">
        <v>4635</v>
      </c>
    </row>
    <row r="329" spans="7:45">
      <c r="H329" s="9" t="s">
        <v>5342</v>
      </c>
      <c r="R329" s="97" t="s">
        <v>4558</v>
      </c>
      <c r="S329" s="93">
        <v>25071612</v>
      </c>
      <c r="U329" s="187" t="s">
        <v>5346</v>
      </c>
      <c r="V329" s="187">
        <v>2316</v>
      </c>
      <c r="W329" s="186">
        <v>818.697</v>
      </c>
      <c r="X329" s="186">
        <f t="shared" si="61"/>
        <v>1896102.2520000001</v>
      </c>
      <c r="Y329" s="258" t="s">
        <v>5349</v>
      </c>
      <c r="AI329" s="119">
        <v>34</v>
      </c>
      <c r="AJ329" s="119" t="s">
        <v>3666</v>
      </c>
      <c r="AK329" s="77">
        <v>18363511</v>
      </c>
      <c r="AL329" s="119">
        <v>1</v>
      </c>
      <c r="AM329" s="119">
        <f t="shared" si="65"/>
        <v>779</v>
      </c>
      <c r="AN329" s="119">
        <f t="shared" si="66"/>
        <v>14305175069</v>
      </c>
      <c r="AO329" s="119" t="s">
        <v>4635</v>
      </c>
    </row>
    <row r="330" spans="7:45">
      <c r="H330" s="9" t="s">
        <v>5504</v>
      </c>
      <c r="R330" s="97" t="s">
        <v>4559</v>
      </c>
      <c r="S330" s="93">
        <v>42236984</v>
      </c>
      <c r="U330" s="19" t="s">
        <v>5352</v>
      </c>
      <c r="V330" s="19">
        <v>315</v>
      </c>
      <c r="W330" s="115">
        <v>680</v>
      </c>
      <c r="X330" s="115">
        <f t="shared" si="61"/>
        <v>214200</v>
      </c>
      <c r="Y330" s="259" t="s">
        <v>5096</v>
      </c>
      <c r="AI330" s="119">
        <v>35</v>
      </c>
      <c r="AJ330" s="119" t="s">
        <v>4640</v>
      </c>
      <c r="AK330" s="77">
        <v>23622417</v>
      </c>
      <c r="AL330" s="119">
        <v>5</v>
      </c>
      <c r="AM330" s="119">
        <f t="shared" si="65"/>
        <v>778</v>
      </c>
      <c r="AN330" s="119">
        <f t="shared" si="66"/>
        <v>18378240426</v>
      </c>
      <c r="AO330" s="119" t="s">
        <v>4642</v>
      </c>
    </row>
    <row r="331" spans="7:45">
      <c r="H331" s="279" t="s">
        <v>5505</v>
      </c>
      <c r="R331" s="97" t="s">
        <v>4580</v>
      </c>
      <c r="S331" s="93">
        <v>19663646</v>
      </c>
      <c r="U331" s="19" t="s">
        <v>5374</v>
      </c>
      <c r="V331" s="19">
        <v>832</v>
      </c>
      <c r="W331" s="115">
        <v>784.36500000000001</v>
      </c>
      <c r="X331" s="115">
        <f t="shared" si="61"/>
        <v>652591.68000000005</v>
      </c>
      <c r="Y331" s="259" t="s">
        <v>5096</v>
      </c>
      <c r="Z331" t="s">
        <v>25</v>
      </c>
      <c r="AI331" s="119">
        <v>36</v>
      </c>
      <c r="AJ331" s="119" t="s">
        <v>4653</v>
      </c>
      <c r="AK331" s="77">
        <v>82496108</v>
      </c>
      <c r="AL331" s="119">
        <v>1</v>
      </c>
      <c r="AM331" s="119">
        <f t="shared" si="65"/>
        <v>773</v>
      </c>
      <c r="AN331" s="119">
        <f t="shared" si="66"/>
        <v>63769491484</v>
      </c>
      <c r="AO331" s="119" t="s">
        <v>4656</v>
      </c>
    </row>
    <row r="332" spans="7:45">
      <c r="H332" s="279" t="s">
        <v>743</v>
      </c>
      <c r="R332" s="97" t="s">
        <v>4591</v>
      </c>
      <c r="S332" s="93">
        <v>4374525</v>
      </c>
      <c r="U332" s="19" t="s">
        <v>5417</v>
      </c>
      <c r="V332" s="19">
        <v>382</v>
      </c>
      <c r="W332" s="115">
        <v>1450.6065000000001</v>
      </c>
      <c r="X332" s="115">
        <f t="shared" si="61"/>
        <v>554131.68300000008</v>
      </c>
      <c r="Y332" s="259" t="s">
        <v>5096</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4593</v>
      </c>
      <c r="S333" s="93">
        <v>6550580</v>
      </c>
      <c r="U333" s="19" t="s">
        <v>5418</v>
      </c>
      <c r="V333" s="19">
        <v>50047</v>
      </c>
      <c r="W333" s="115">
        <v>1406.14</v>
      </c>
      <c r="X333" s="115">
        <f t="shared" si="61"/>
        <v>70373088.579999998</v>
      </c>
      <c r="Y333" s="259" t="s">
        <v>5096</v>
      </c>
      <c r="AA333" t="s">
        <v>25</v>
      </c>
      <c r="AI333" s="97">
        <v>38</v>
      </c>
      <c r="AJ333" s="97" t="s">
        <v>4724</v>
      </c>
      <c r="AK333" s="115">
        <v>665000</v>
      </c>
      <c r="AL333" s="97">
        <v>0</v>
      </c>
      <c r="AM333" s="97">
        <f t="shared" si="65"/>
        <v>756</v>
      </c>
      <c r="AN333" s="20">
        <f t="shared" si="66"/>
        <v>502740000</v>
      </c>
      <c r="AO333" s="97"/>
    </row>
    <row r="334" spans="7:45">
      <c r="H334" s="9" t="s">
        <v>5507</v>
      </c>
      <c r="R334" s="97" t="s">
        <v>4606</v>
      </c>
      <c r="S334" s="93">
        <v>7054895</v>
      </c>
      <c r="U334" s="19" t="s">
        <v>5419</v>
      </c>
      <c r="V334" s="19">
        <v>846</v>
      </c>
      <c r="W334" s="115">
        <v>1441.6724569999999</v>
      </c>
      <c r="X334" s="115">
        <f t="shared" si="61"/>
        <v>1219654.8986219999</v>
      </c>
      <c r="Y334" s="259" t="s">
        <v>5096</v>
      </c>
      <c r="Z334" t="s">
        <v>25</v>
      </c>
      <c r="AA334" t="s">
        <v>25</v>
      </c>
      <c r="AI334" s="147">
        <v>39</v>
      </c>
      <c r="AJ334" s="147" t="s">
        <v>4724</v>
      </c>
      <c r="AK334" s="186">
        <v>665000</v>
      </c>
      <c r="AL334" s="147">
        <v>4</v>
      </c>
      <c r="AM334" s="191">
        <f t="shared" si="65"/>
        <v>756</v>
      </c>
      <c r="AN334" s="191">
        <f t="shared" si="66"/>
        <v>502740000</v>
      </c>
      <c r="AO334" s="191"/>
    </row>
    <row r="335" spans="7:45">
      <c r="H335" s="9" t="s">
        <v>5534</v>
      </c>
      <c r="R335" s="97" t="s">
        <v>4617</v>
      </c>
      <c r="S335" s="93">
        <v>2145814</v>
      </c>
      <c r="U335" s="19" t="s">
        <v>5420</v>
      </c>
      <c r="V335" s="19">
        <v>10573</v>
      </c>
      <c r="W335" s="115">
        <v>1451.825</v>
      </c>
      <c r="X335" s="115">
        <f t="shared" si="61"/>
        <v>15350145.725</v>
      </c>
      <c r="Y335" s="259" t="s">
        <v>5096</v>
      </c>
      <c r="Z335" t="s">
        <v>25</v>
      </c>
      <c r="AI335" s="20">
        <v>40</v>
      </c>
      <c r="AJ335" s="20" t="s">
        <v>4733</v>
      </c>
      <c r="AK335" s="115">
        <v>2000000</v>
      </c>
      <c r="AL335" s="20">
        <v>1</v>
      </c>
      <c r="AM335" s="97">
        <f t="shared" si="65"/>
        <v>752</v>
      </c>
      <c r="AN335" s="20">
        <f t="shared" si="66"/>
        <v>1504000000</v>
      </c>
      <c r="AO335" s="97"/>
    </row>
    <row r="336" spans="7:45" ht="30">
      <c r="H336" s="279"/>
      <c r="R336" s="97" t="s">
        <v>4619</v>
      </c>
      <c r="S336" s="93">
        <v>4369730</v>
      </c>
      <c r="U336" s="19" t="s">
        <v>5421</v>
      </c>
      <c r="V336" s="19">
        <v>85</v>
      </c>
      <c r="W336" s="115">
        <v>1423.74</v>
      </c>
      <c r="X336" s="115">
        <f t="shared" si="61"/>
        <v>121017.9</v>
      </c>
      <c r="Y336" s="259" t="s">
        <v>5422</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ht="30">
      <c r="R337" s="97" t="s">
        <v>4628</v>
      </c>
      <c r="S337" s="93">
        <v>8739459</v>
      </c>
      <c r="U337" s="19" t="s">
        <v>5425</v>
      </c>
      <c r="V337" s="19">
        <v>738</v>
      </c>
      <c r="W337" s="115">
        <v>1388.87895</v>
      </c>
      <c r="X337" s="115">
        <f t="shared" si="61"/>
        <v>1024992.6651</v>
      </c>
      <c r="Y337" s="259" t="s">
        <v>5429</v>
      </c>
      <c r="Z337" t="s">
        <v>25</v>
      </c>
      <c r="AI337" s="147">
        <v>42</v>
      </c>
      <c r="AJ337" s="147" t="s">
        <v>4738</v>
      </c>
      <c r="AK337" s="186">
        <v>-433375</v>
      </c>
      <c r="AL337" s="147">
        <v>0</v>
      </c>
      <c r="AM337" s="147">
        <f t="shared" si="65"/>
        <v>751</v>
      </c>
      <c r="AN337" s="147">
        <f t="shared" si="67"/>
        <v>-325464625</v>
      </c>
      <c r="AO337" s="147" t="s">
        <v>4740</v>
      </c>
      <c r="AT337" t="s">
        <v>25</v>
      </c>
    </row>
    <row r="338" spans="18:47">
      <c r="R338" s="97" t="s">
        <v>3666</v>
      </c>
      <c r="S338" s="93">
        <v>6667654</v>
      </c>
      <c r="U338" s="19" t="s">
        <v>5437</v>
      </c>
      <c r="V338" s="19">
        <v>1442</v>
      </c>
      <c r="W338" s="115">
        <v>1350.9547279999999</v>
      </c>
      <c r="X338" s="115">
        <f t="shared" si="61"/>
        <v>1948076.7177759998</v>
      </c>
      <c r="Y338" s="259" t="s">
        <v>5096</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4640</v>
      </c>
      <c r="S339" s="93">
        <v>8981245</v>
      </c>
      <c r="U339" s="19" t="s">
        <v>5438</v>
      </c>
      <c r="V339" s="19">
        <v>36847</v>
      </c>
      <c r="W339" s="115">
        <v>1356.9658300000001</v>
      </c>
      <c r="X339" s="115">
        <f t="shared" si="61"/>
        <v>50000119.938010007</v>
      </c>
      <c r="Y339" s="259" t="s">
        <v>5101</v>
      </c>
      <c r="AI339" s="20">
        <v>44</v>
      </c>
      <c r="AJ339" s="20" t="s">
        <v>4747</v>
      </c>
      <c r="AK339" s="115">
        <v>160000</v>
      </c>
      <c r="AL339" s="20">
        <v>0</v>
      </c>
      <c r="AM339" s="97">
        <f t="shared" si="65"/>
        <v>750</v>
      </c>
      <c r="AN339" s="20">
        <f t="shared" si="67"/>
        <v>120000000</v>
      </c>
      <c r="AO339" s="97"/>
      <c r="AT339" t="s">
        <v>25</v>
      </c>
    </row>
    <row r="340" spans="18:47" ht="30">
      <c r="R340" s="97" t="s">
        <v>4643</v>
      </c>
      <c r="S340" s="93">
        <v>9181756</v>
      </c>
      <c r="U340" s="19" t="s">
        <v>5439</v>
      </c>
      <c r="V340" s="19">
        <v>13738</v>
      </c>
      <c r="W340" s="115">
        <v>1455.82</v>
      </c>
      <c r="X340" s="115">
        <f t="shared" si="61"/>
        <v>20000055.16</v>
      </c>
      <c r="Y340" s="259" t="s">
        <v>5455</v>
      </c>
      <c r="Z340" t="s">
        <v>25</v>
      </c>
      <c r="AB340" t="s">
        <v>25</v>
      </c>
      <c r="AI340" s="147">
        <v>45</v>
      </c>
      <c r="AJ340" s="147" t="s">
        <v>4747</v>
      </c>
      <c r="AK340" s="186">
        <v>70000</v>
      </c>
      <c r="AL340" s="147">
        <v>9</v>
      </c>
      <c r="AM340" s="147">
        <f t="shared" si="65"/>
        <v>750</v>
      </c>
      <c r="AN340" s="147">
        <f t="shared" si="67"/>
        <v>52500000</v>
      </c>
      <c r="AO340" s="147"/>
    </row>
    <row r="341" spans="18:47">
      <c r="R341" s="97" t="s">
        <v>4655</v>
      </c>
      <c r="S341" s="93">
        <v>11811208</v>
      </c>
      <c r="U341" s="19" t="s">
        <v>5462</v>
      </c>
      <c r="V341" s="19">
        <v>3100</v>
      </c>
      <c r="W341" s="115">
        <v>1853.4507470000001</v>
      </c>
      <c r="X341" s="115">
        <f t="shared" si="61"/>
        <v>5745697.3157000002</v>
      </c>
      <c r="Y341" s="259" t="s">
        <v>5096</v>
      </c>
      <c r="Z341" t="s">
        <v>25</v>
      </c>
      <c r="AI341" s="20">
        <v>46</v>
      </c>
      <c r="AJ341" s="20" t="s">
        <v>4753</v>
      </c>
      <c r="AK341" s="115">
        <v>850000</v>
      </c>
      <c r="AL341" s="20">
        <v>0</v>
      </c>
      <c r="AM341" s="97">
        <f t="shared" si="65"/>
        <v>741</v>
      </c>
      <c r="AN341" s="20">
        <f t="shared" si="67"/>
        <v>629850000</v>
      </c>
      <c r="AO341" s="97"/>
    </row>
    <row r="342" spans="18:47">
      <c r="R342" s="97" t="s">
        <v>4662</v>
      </c>
      <c r="S342" s="93">
        <v>41248054</v>
      </c>
      <c r="U342" s="19" t="s">
        <v>5463</v>
      </c>
      <c r="V342" s="19">
        <v>480</v>
      </c>
      <c r="W342" s="115">
        <v>1891.9962069999999</v>
      </c>
      <c r="X342" s="115">
        <f t="shared" si="61"/>
        <v>908158.17935999995</v>
      </c>
      <c r="Y342" s="259" t="s">
        <v>5096</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4668</v>
      </c>
      <c r="S343" s="93">
        <v>37328780</v>
      </c>
      <c r="U343" s="19" t="s">
        <v>5464</v>
      </c>
      <c r="V343" s="19">
        <v>6522</v>
      </c>
      <c r="W343" s="115">
        <v>1938.4694340000001</v>
      </c>
      <c r="X343" s="115">
        <f t="shared" si="61"/>
        <v>12642697.648548001</v>
      </c>
      <c r="Y343" s="259" t="s">
        <v>5096</v>
      </c>
      <c r="AI343" s="191">
        <v>48</v>
      </c>
      <c r="AJ343" s="191" t="s">
        <v>4766</v>
      </c>
      <c r="AK343" s="192">
        <v>30000000</v>
      </c>
      <c r="AL343" s="191">
        <v>27</v>
      </c>
      <c r="AM343" s="191">
        <f t="shared" si="68"/>
        <v>737</v>
      </c>
      <c r="AN343" s="191">
        <f t="shared" si="69"/>
        <v>22110000000</v>
      </c>
      <c r="AO343" s="191" t="s">
        <v>4767</v>
      </c>
    </row>
    <row r="344" spans="18:47">
      <c r="R344" s="97" t="s">
        <v>4724</v>
      </c>
      <c r="S344" s="93">
        <v>50000000</v>
      </c>
      <c r="U344" s="19" t="s">
        <v>5465</v>
      </c>
      <c r="V344" s="19">
        <v>6197</v>
      </c>
      <c r="W344" s="115">
        <v>1984.3985499999999</v>
      </c>
      <c r="X344" s="115">
        <f t="shared" si="61"/>
        <v>12297317.81435</v>
      </c>
      <c r="Y344" s="259" t="s">
        <v>5096</v>
      </c>
      <c r="AB344" t="s">
        <v>25</v>
      </c>
      <c r="AI344" s="20">
        <v>49</v>
      </c>
      <c r="AJ344" s="20" t="s">
        <v>4833</v>
      </c>
      <c r="AK344" s="115">
        <v>1100000</v>
      </c>
      <c r="AL344" s="20">
        <v>1</v>
      </c>
      <c r="AM344" s="20">
        <f t="shared" si="68"/>
        <v>710</v>
      </c>
      <c r="AN344" s="20">
        <f t="shared" si="69"/>
        <v>781000000</v>
      </c>
      <c r="AO344" s="20"/>
    </row>
    <row r="345" spans="18:47">
      <c r="R345" s="97" t="s">
        <v>4733</v>
      </c>
      <c r="S345" s="93">
        <v>68656</v>
      </c>
      <c r="U345" s="19" t="s">
        <v>5466</v>
      </c>
      <c r="V345" s="19">
        <v>4646</v>
      </c>
      <c r="W345" s="115">
        <v>1928.464023</v>
      </c>
      <c r="X345" s="115">
        <f t="shared" si="61"/>
        <v>8959643.8508579992</v>
      </c>
      <c r="Y345" s="259" t="s">
        <v>5096</v>
      </c>
      <c r="AA345" t="s">
        <v>25</v>
      </c>
      <c r="AB345" t="s">
        <v>25</v>
      </c>
      <c r="AI345" s="20">
        <v>50</v>
      </c>
      <c r="AJ345" s="20" t="s">
        <v>4834</v>
      </c>
      <c r="AK345" s="115">
        <v>450000</v>
      </c>
      <c r="AL345" s="20">
        <v>0</v>
      </c>
      <c r="AM345" s="20">
        <f t="shared" si="68"/>
        <v>709</v>
      </c>
      <c r="AN345" s="20">
        <f t="shared" si="69"/>
        <v>319050000</v>
      </c>
      <c r="AO345" s="20"/>
    </row>
    <row r="346" spans="18:47">
      <c r="R346" s="97" t="s">
        <v>4733</v>
      </c>
      <c r="S346" s="93">
        <v>4000236</v>
      </c>
      <c r="U346" s="19" t="s">
        <v>5467</v>
      </c>
      <c r="V346" s="19">
        <v>7668</v>
      </c>
      <c r="W346" s="115">
        <v>1976.2774959999999</v>
      </c>
      <c r="X346" s="115">
        <f t="shared" si="61"/>
        <v>15154095.839328</v>
      </c>
      <c r="Y346" s="259" t="s">
        <v>5096</v>
      </c>
      <c r="AI346" s="147">
        <v>51</v>
      </c>
      <c r="AJ346" s="147" t="s">
        <v>4834</v>
      </c>
      <c r="AK346" s="186">
        <v>550000</v>
      </c>
      <c r="AL346" s="147">
        <v>1</v>
      </c>
      <c r="AM346" s="147">
        <f t="shared" si="68"/>
        <v>709</v>
      </c>
      <c r="AN346" s="147">
        <f t="shared" si="69"/>
        <v>389950000</v>
      </c>
      <c r="AO346" s="147"/>
    </row>
    <row r="347" spans="18:47" ht="30">
      <c r="R347" s="97" t="s">
        <v>4738</v>
      </c>
      <c r="S347" s="93">
        <v>2250000</v>
      </c>
      <c r="U347" s="19" t="s">
        <v>5474</v>
      </c>
      <c r="V347" s="19">
        <v>-43325</v>
      </c>
      <c r="W347" s="115">
        <v>2146.5548840000001</v>
      </c>
      <c r="X347" s="115">
        <f t="shared" si="61"/>
        <v>-92999490.349300012</v>
      </c>
      <c r="Y347" s="259" t="s">
        <v>5475</v>
      </c>
      <c r="Z347" t="s">
        <v>25</v>
      </c>
      <c r="AI347" s="147">
        <v>52</v>
      </c>
      <c r="AJ347" s="147" t="s">
        <v>4836</v>
      </c>
      <c r="AK347" s="186">
        <v>1000000</v>
      </c>
      <c r="AL347" s="147">
        <v>8</v>
      </c>
      <c r="AM347" s="147">
        <f t="shared" si="68"/>
        <v>708</v>
      </c>
      <c r="AN347" s="147">
        <f t="shared" si="69"/>
        <v>708000000</v>
      </c>
      <c r="AO347" s="147"/>
    </row>
    <row r="348" spans="18:47">
      <c r="R348" s="97" t="s">
        <v>4747</v>
      </c>
      <c r="S348" s="93">
        <v>-2512200</v>
      </c>
      <c r="U348" s="19" t="s">
        <v>5482</v>
      </c>
      <c r="V348" s="19">
        <v>20888</v>
      </c>
      <c r="W348" s="115">
        <v>2428.4521530000002</v>
      </c>
      <c r="X348" s="115">
        <f t="shared" si="61"/>
        <v>50725508.571864001</v>
      </c>
      <c r="Y348" s="259" t="s">
        <v>5096</v>
      </c>
      <c r="AI348" s="20">
        <v>53</v>
      </c>
      <c r="AJ348" s="20" t="s">
        <v>4845</v>
      </c>
      <c r="AK348" s="115">
        <v>-2668880</v>
      </c>
      <c r="AL348" s="20">
        <v>0</v>
      </c>
      <c r="AM348" s="20">
        <f t="shared" si="68"/>
        <v>700</v>
      </c>
      <c r="AN348" s="20">
        <f t="shared" si="69"/>
        <v>-1868216000</v>
      </c>
      <c r="AO348" s="20" t="s">
        <v>4847</v>
      </c>
    </row>
    <row r="349" spans="18:47">
      <c r="R349" s="97" t="s">
        <v>964</v>
      </c>
      <c r="S349" s="93">
        <v>300000</v>
      </c>
      <c r="U349" s="19" t="s">
        <v>5483</v>
      </c>
      <c r="V349" s="19">
        <v>21663</v>
      </c>
      <c r="W349" s="115">
        <v>2308.0067819999999</v>
      </c>
      <c r="X349" s="115">
        <f t="shared" si="61"/>
        <v>49998350.918466002</v>
      </c>
      <c r="Y349" s="259" t="s">
        <v>5486</v>
      </c>
      <c r="Z349" t="s">
        <v>25</v>
      </c>
      <c r="AI349" s="147">
        <v>54</v>
      </c>
      <c r="AJ349" s="147" t="s">
        <v>4845</v>
      </c>
      <c r="AK349" s="186">
        <v>-1528620</v>
      </c>
      <c r="AL349" s="147">
        <v>0</v>
      </c>
      <c r="AM349" s="147">
        <f t="shared" si="68"/>
        <v>700</v>
      </c>
      <c r="AN349" s="147">
        <f t="shared" si="69"/>
        <v>-1070034000</v>
      </c>
      <c r="AO349" s="147" t="s">
        <v>4847</v>
      </c>
    </row>
    <row r="350" spans="18:47">
      <c r="R350" s="97" t="s">
        <v>4753</v>
      </c>
      <c r="S350" s="93">
        <v>1100000</v>
      </c>
      <c r="U350" s="19" t="s">
        <v>5483</v>
      </c>
      <c r="V350" s="19">
        <v>977</v>
      </c>
      <c r="W350" s="115">
        <v>2335.6821479999999</v>
      </c>
      <c r="X350" s="115">
        <f t="shared" si="61"/>
        <v>2281961.458596</v>
      </c>
      <c r="Y350" s="259" t="s">
        <v>5096</v>
      </c>
      <c r="AI350" s="20">
        <v>55</v>
      </c>
      <c r="AJ350" s="20" t="s">
        <v>4845</v>
      </c>
      <c r="AK350" s="115">
        <v>50000000</v>
      </c>
      <c r="AL350" s="20">
        <v>4</v>
      </c>
      <c r="AM350" s="20">
        <f t="shared" si="68"/>
        <v>700</v>
      </c>
      <c r="AN350" s="20">
        <f t="shared" si="69"/>
        <v>35000000000</v>
      </c>
      <c r="AO350" s="20"/>
    </row>
    <row r="351" spans="18:47">
      <c r="R351" s="97" t="s">
        <v>4773</v>
      </c>
      <c r="S351" s="93">
        <v>890000</v>
      </c>
      <c r="U351" s="19" t="s">
        <v>5490</v>
      </c>
      <c r="V351" s="19">
        <v>4155</v>
      </c>
      <c r="W351" s="115">
        <v>2647</v>
      </c>
      <c r="X351" s="115">
        <f t="shared" si="61"/>
        <v>10998285</v>
      </c>
      <c r="Y351" s="259" t="s">
        <v>5096</v>
      </c>
      <c r="AI351" s="20">
        <v>56</v>
      </c>
      <c r="AJ351" s="20" t="s">
        <v>4851</v>
      </c>
      <c r="AK351" s="115">
        <v>400000</v>
      </c>
      <c r="AL351" s="20">
        <v>4</v>
      </c>
      <c r="AM351" s="20">
        <f t="shared" ref="AM351:AM360" si="70">AL351+AM352</f>
        <v>696</v>
      </c>
      <c r="AN351" s="20">
        <f t="shared" ref="AN351:AN360" si="71">AK351*AM351</f>
        <v>278400000</v>
      </c>
      <c r="AO351" s="20"/>
    </row>
    <row r="352" spans="18:47">
      <c r="R352" s="97" t="s">
        <v>4774</v>
      </c>
      <c r="S352" s="93">
        <v>1000000</v>
      </c>
      <c r="U352" s="19" t="s">
        <v>5491</v>
      </c>
      <c r="V352" s="19">
        <v>351</v>
      </c>
      <c r="W352" s="115">
        <v>2800.6238229999999</v>
      </c>
      <c r="X352" s="115">
        <f t="shared" si="61"/>
        <v>983018.96187300002</v>
      </c>
      <c r="Y352" s="259" t="s">
        <v>5096</v>
      </c>
      <c r="Z352" t="s">
        <v>25</v>
      </c>
      <c r="AI352" s="20">
        <v>57</v>
      </c>
      <c r="AJ352" s="20" t="s">
        <v>4860</v>
      </c>
      <c r="AK352" s="115">
        <v>2000000</v>
      </c>
      <c r="AL352" s="20">
        <v>3</v>
      </c>
      <c r="AM352" s="20">
        <f t="shared" si="70"/>
        <v>692</v>
      </c>
      <c r="AN352" s="20">
        <f t="shared" si="71"/>
        <v>1384000000</v>
      </c>
      <c r="AO352" s="20"/>
    </row>
    <row r="353" spans="18:46">
      <c r="R353" s="97" t="s">
        <v>4774</v>
      </c>
      <c r="S353" s="93">
        <v>45436311</v>
      </c>
      <c r="T353" s="112"/>
      <c r="U353" s="19" t="s">
        <v>5493</v>
      </c>
      <c r="V353" s="19">
        <v>5877</v>
      </c>
      <c r="W353" s="115">
        <v>2901.0160000000001</v>
      </c>
      <c r="X353" s="115">
        <f t="shared" si="61"/>
        <v>17049271.032000002</v>
      </c>
      <c r="Y353" s="259" t="s">
        <v>5096</v>
      </c>
      <c r="Z353" t="s">
        <v>25</v>
      </c>
      <c r="AI353" s="20">
        <v>58</v>
      </c>
      <c r="AJ353" s="20" t="s">
        <v>4863</v>
      </c>
      <c r="AK353" s="115">
        <v>100000</v>
      </c>
      <c r="AL353" s="20">
        <v>4</v>
      </c>
      <c r="AM353" s="20">
        <f t="shared" si="70"/>
        <v>689</v>
      </c>
      <c r="AN353" s="20">
        <f t="shared" si="71"/>
        <v>68900000</v>
      </c>
      <c r="AO353" s="20" t="s">
        <v>3873</v>
      </c>
    </row>
    <row r="354" spans="18:46">
      <c r="R354" s="97" t="s">
        <v>4786</v>
      </c>
      <c r="S354" s="93">
        <v>-3500000</v>
      </c>
      <c r="U354" s="19" t="s">
        <v>5496</v>
      </c>
      <c r="V354" s="19">
        <v>2374</v>
      </c>
      <c r="W354" s="115">
        <v>2877</v>
      </c>
      <c r="X354" s="115">
        <f t="shared" ref="X354:X391" si="72">V354*W354</f>
        <v>6829998</v>
      </c>
      <c r="Y354" s="259" t="s">
        <v>5096</v>
      </c>
      <c r="AI354" s="20">
        <v>59</v>
      </c>
      <c r="AJ354" s="20" t="s">
        <v>4870</v>
      </c>
      <c r="AK354" s="115">
        <v>100000</v>
      </c>
      <c r="AL354" s="20">
        <v>7</v>
      </c>
      <c r="AM354" s="20">
        <f t="shared" si="70"/>
        <v>685</v>
      </c>
      <c r="AN354" s="20">
        <f t="shared" si="71"/>
        <v>68500000</v>
      </c>
      <c r="AO354" s="20"/>
    </row>
    <row r="355" spans="18:46">
      <c r="R355" s="97" t="s">
        <v>4821</v>
      </c>
      <c r="S355" s="93">
        <v>2520000</v>
      </c>
      <c r="U355" s="19" t="s">
        <v>4209</v>
      </c>
      <c r="V355" s="19">
        <v>2532</v>
      </c>
      <c r="W355" s="115">
        <v>2757.7444</v>
      </c>
      <c r="X355" s="115">
        <f t="shared" si="72"/>
        <v>6982608.8207999999</v>
      </c>
      <c r="Y355" s="259" t="s">
        <v>5096</v>
      </c>
      <c r="AI355" s="20">
        <v>60</v>
      </c>
      <c r="AJ355" s="20" t="s">
        <v>4883</v>
      </c>
      <c r="AK355" s="115">
        <v>50000</v>
      </c>
      <c r="AL355" s="20">
        <v>0</v>
      </c>
      <c r="AM355" s="20">
        <f t="shared" si="70"/>
        <v>678</v>
      </c>
      <c r="AN355" s="20">
        <f t="shared" si="71"/>
        <v>33900000</v>
      </c>
      <c r="AO355" s="20"/>
    </row>
    <row r="356" spans="18:46">
      <c r="R356" s="97" t="s">
        <v>4833</v>
      </c>
      <c r="S356" s="93">
        <v>4900000</v>
      </c>
      <c r="U356" s="19" t="s">
        <v>4209</v>
      </c>
      <c r="V356" s="19">
        <v>4987</v>
      </c>
      <c r="W356" s="115">
        <v>2757.7444</v>
      </c>
      <c r="X356" s="115">
        <f t="shared" si="72"/>
        <v>13752871.322800001</v>
      </c>
      <c r="Y356" s="259" t="s">
        <v>5511</v>
      </c>
      <c r="Z356" t="s">
        <v>25</v>
      </c>
      <c r="AI356" s="147">
        <v>61</v>
      </c>
      <c r="AJ356" s="147" t="s">
        <v>4883</v>
      </c>
      <c r="AK356" s="186">
        <v>50000</v>
      </c>
      <c r="AL356" s="147">
        <v>3</v>
      </c>
      <c r="AM356" s="147">
        <f t="shared" si="70"/>
        <v>678</v>
      </c>
      <c r="AN356" s="147">
        <f t="shared" si="71"/>
        <v>33900000</v>
      </c>
      <c r="AO356" s="147"/>
    </row>
    <row r="357" spans="18:46">
      <c r="R357" s="97" t="s">
        <v>4793</v>
      </c>
      <c r="S357" s="93">
        <v>1150000</v>
      </c>
      <c r="U357" s="19" t="s">
        <v>4209</v>
      </c>
      <c r="V357" s="19">
        <v>997</v>
      </c>
      <c r="W357" s="115">
        <v>2757.7444</v>
      </c>
      <c r="X357" s="115">
        <f t="shared" si="72"/>
        <v>2749471.1668000002</v>
      </c>
      <c r="Y357" s="259" t="s">
        <v>5512</v>
      </c>
      <c r="AI357" s="20">
        <v>62</v>
      </c>
      <c r="AJ357" s="20" t="s">
        <v>4886</v>
      </c>
      <c r="AK357" s="115">
        <v>50000</v>
      </c>
      <c r="AL357" s="20">
        <v>0</v>
      </c>
      <c r="AM357" s="20">
        <f t="shared" si="70"/>
        <v>675</v>
      </c>
      <c r="AN357" s="20">
        <f t="shared" si="71"/>
        <v>33750000</v>
      </c>
      <c r="AO357" s="20"/>
    </row>
    <row r="358" spans="18:46" ht="18" customHeight="1">
      <c r="R358" s="97" t="s">
        <v>4867</v>
      </c>
      <c r="S358" s="93">
        <v>250000</v>
      </c>
      <c r="U358" s="19" t="s">
        <v>5516</v>
      </c>
      <c r="V358" s="19">
        <v>2874</v>
      </c>
      <c r="W358" s="115">
        <v>2613.1284000000001</v>
      </c>
      <c r="X358" s="115">
        <f t="shared" si="72"/>
        <v>7510131.0216000006</v>
      </c>
      <c r="Y358" s="259" t="s">
        <v>5096</v>
      </c>
      <c r="AI358" s="191">
        <v>63</v>
      </c>
      <c r="AJ358" s="191" t="s">
        <v>4886</v>
      </c>
      <c r="AK358" s="192">
        <v>50000</v>
      </c>
      <c r="AL358" s="191">
        <v>2</v>
      </c>
      <c r="AM358" s="191">
        <f t="shared" si="70"/>
        <v>675</v>
      </c>
      <c r="AN358" s="191">
        <f t="shared" si="71"/>
        <v>33750000</v>
      </c>
      <c r="AO358" s="191"/>
      <c r="AT358" t="s">
        <v>25</v>
      </c>
    </row>
    <row r="359" spans="18:46" ht="21" customHeight="1">
      <c r="R359" s="97" t="s">
        <v>4870</v>
      </c>
      <c r="S359" s="93">
        <v>1403460</v>
      </c>
      <c r="U359" s="19" t="s">
        <v>5522</v>
      </c>
      <c r="V359" s="19">
        <v>2847</v>
      </c>
      <c r="W359" s="115">
        <v>2556.3841000000002</v>
      </c>
      <c r="X359" s="115">
        <f t="shared" si="72"/>
        <v>7278025.5327000003</v>
      </c>
      <c r="Y359" s="259" t="s">
        <v>5096</v>
      </c>
      <c r="AI359" s="20">
        <v>64</v>
      </c>
      <c r="AJ359" s="20" t="s">
        <v>4893</v>
      </c>
      <c r="AK359" s="115">
        <v>25000</v>
      </c>
      <c r="AL359" s="20">
        <v>0</v>
      </c>
      <c r="AM359" s="20">
        <f t="shared" si="70"/>
        <v>673</v>
      </c>
      <c r="AN359" s="20">
        <f t="shared" si="71"/>
        <v>16825000</v>
      </c>
      <c r="AO359" s="20"/>
    </row>
    <row r="360" spans="18:46">
      <c r="R360" s="97" t="s">
        <v>4875</v>
      </c>
      <c r="S360" s="93">
        <v>200000</v>
      </c>
      <c r="U360" s="19" t="s">
        <v>5522</v>
      </c>
      <c r="V360" s="19">
        <v>1222</v>
      </c>
      <c r="W360" s="115">
        <v>2556.3841000000002</v>
      </c>
      <c r="X360" s="115">
        <f t="shared" si="72"/>
        <v>3123901.3702000002</v>
      </c>
      <c r="Y360" s="259" t="s">
        <v>5523</v>
      </c>
      <c r="AI360" s="147">
        <v>65</v>
      </c>
      <c r="AJ360" s="147" t="s">
        <v>4893</v>
      </c>
      <c r="AK360" s="186">
        <v>35000</v>
      </c>
      <c r="AL360" s="147">
        <v>7</v>
      </c>
      <c r="AM360" s="147">
        <f t="shared" si="70"/>
        <v>673</v>
      </c>
      <c r="AN360" s="147">
        <f t="shared" si="71"/>
        <v>23555000</v>
      </c>
      <c r="AO360" s="147"/>
    </row>
    <row r="361" spans="18:46">
      <c r="R361" s="97" t="s">
        <v>4880</v>
      </c>
      <c r="S361" s="93">
        <v>345000</v>
      </c>
      <c r="U361" s="19" t="s">
        <v>5531</v>
      </c>
      <c r="V361" s="19">
        <v>73</v>
      </c>
      <c r="W361" s="115">
        <v>2672.0459999999998</v>
      </c>
      <c r="X361" s="115">
        <f t="shared" si="72"/>
        <v>195059.35799999998</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4883</v>
      </c>
      <c r="S362" s="93">
        <v>900000</v>
      </c>
      <c r="T362" t="s">
        <v>25</v>
      </c>
      <c r="U362" s="19" t="s">
        <v>5536</v>
      </c>
      <c r="V362" s="19">
        <v>332</v>
      </c>
      <c r="W362" s="115">
        <v>2598.1260000000002</v>
      </c>
      <c r="X362" s="115">
        <f t="shared" si="72"/>
        <v>862577.83200000005</v>
      </c>
      <c r="Y362" s="259" t="s">
        <v>5537</v>
      </c>
      <c r="Z362" t="s">
        <v>25</v>
      </c>
      <c r="AA362" t="s">
        <v>25</v>
      </c>
      <c r="AI362" s="20">
        <v>67</v>
      </c>
      <c r="AJ362" s="20" t="s">
        <v>4901</v>
      </c>
      <c r="AK362" s="115">
        <v>6800000</v>
      </c>
      <c r="AL362" s="20">
        <v>1</v>
      </c>
      <c r="AM362" s="20">
        <f t="shared" si="73"/>
        <v>666</v>
      </c>
      <c r="AN362" s="20">
        <f t="shared" si="74"/>
        <v>4528800000</v>
      </c>
      <c r="AO362" s="20"/>
    </row>
    <row r="363" spans="18:46">
      <c r="R363" s="97" t="s">
        <v>4891</v>
      </c>
      <c r="S363" s="93">
        <v>372517</v>
      </c>
      <c r="U363" s="19" t="s">
        <v>5538</v>
      </c>
      <c r="V363" s="19">
        <v>346</v>
      </c>
      <c r="W363" s="115">
        <v>2659.8510000000001</v>
      </c>
      <c r="X363" s="115">
        <f t="shared" si="72"/>
        <v>920308.446</v>
      </c>
      <c r="Y363" s="259" t="s">
        <v>5096</v>
      </c>
      <c r="AI363" s="20">
        <v>68</v>
      </c>
      <c r="AJ363" s="20" t="s">
        <v>4904</v>
      </c>
      <c r="AK363" s="115">
        <v>500000</v>
      </c>
      <c r="AL363" s="20">
        <v>1</v>
      </c>
      <c r="AM363" s="20">
        <f t="shared" si="73"/>
        <v>665</v>
      </c>
      <c r="AN363" s="20">
        <f t="shared" si="74"/>
        <v>332500000</v>
      </c>
      <c r="AO363" s="20"/>
    </row>
    <row r="364" spans="18:46">
      <c r="R364" s="97" t="s">
        <v>4924</v>
      </c>
      <c r="S364" s="93">
        <v>6489257</v>
      </c>
      <c r="U364" s="19" t="s">
        <v>5539</v>
      </c>
      <c r="V364" s="19">
        <v>1722</v>
      </c>
      <c r="W364" s="115">
        <v>2692.1079220000001</v>
      </c>
      <c r="X364" s="115">
        <f t="shared" si="72"/>
        <v>4635809.8416840006</v>
      </c>
      <c r="Y364" s="259" t="s">
        <v>5096</v>
      </c>
      <c r="Z364" t="s">
        <v>25</v>
      </c>
      <c r="AI364" s="20">
        <v>69</v>
      </c>
      <c r="AJ364" s="20" t="s">
        <v>4908</v>
      </c>
      <c r="AK364" s="115">
        <v>850000</v>
      </c>
      <c r="AL364" s="20">
        <v>5</v>
      </c>
      <c r="AM364" s="20">
        <f t="shared" si="73"/>
        <v>664</v>
      </c>
      <c r="AN364" s="20">
        <f t="shared" si="74"/>
        <v>564400000</v>
      </c>
      <c r="AO364" s="20"/>
    </row>
    <row r="365" spans="18:46">
      <c r="R365" s="97" t="s">
        <v>4935</v>
      </c>
      <c r="S365" s="93">
        <v>618000</v>
      </c>
      <c r="U365" s="19" t="s">
        <v>5541</v>
      </c>
      <c r="V365" s="19">
        <v>106</v>
      </c>
      <c r="W365" s="115">
        <v>2725.4</v>
      </c>
      <c r="X365" s="115">
        <f t="shared" si="72"/>
        <v>288892.40000000002</v>
      </c>
      <c r="Y365" s="259" t="s">
        <v>452</v>
      </c>
      <c r="Z365" t="s">
        <v>25</v>
      </c>
      <c r="AA365" t="s">
        <v>25</v>
      </c>
      <c r="AI365" s="20">
        <v>70</v>
      </c>
      <c r="AJ365" s="20" t="s">
        <v>4916</v>
      </c>
      <c r="AK365" s="115">
        <v>1130250</v>
      </c>
      <c r="AL365" s="20">
        <v>0</v>
      </c>
      <c r="AM365" s="20">
        <f t="shared" si="73"/>
        <v>659</v>
      </c>
      <c r="AN365" s="20">
        <f t="shared" si="74"/>
        <v>744834750</v>
      </c>
      <c r="AO365" s="20"/>
    </row>
    <row r="366" spans="18:46">
      <c r="R366" s="97" t="s">
        <v>4939</v>
      </c>
      <c r="S366" s="93">
        <v>20105000</v>
      </c>
      <c r="U366" s="19" t="s">
        <v>5568</v>
      </c>
      <c r="V366" s="19">
        <v>25901</v>
      </c>
      <c r="W366" s="115">
        <v>2258.9090000000001</v>
      </c>
      <c r="X366" s="115">
        <f t="shared" si="72"/>
        <v>58508002.009000003</v>
      </c>
      <c r="Y366" s="259" t="s">
        <v>5096</v>
      </c>
      <c r="AI366" s="239">
        <v>71</v>
      </c>
      <c r="AJ366" s="239" t="s">
        <v>4916</v>
      </c>
      <c r="AK366" s="230">
        <v>30000</v>
      </c>
      <c r="AL366" s="239">
        <v>5</v>
      </c>
      <c r="AM366" s="239">
        <f t="shared" si="73"/>
        <v>659</v>
      </c>
      <c r="AN366" s="239">
        <f t="shared" si="74"/>
        <v>19770000</v>
      </c>
      <c r="AO366" s="239"/>
    </row>
    <row r="367" spans="18:46">
      <c r="R367" s="97" t="s">
        <v>4940</v>
      </c>
      <c r="S367" s="93">
        <v>-21079990</v>
      </c>
      <c r="U367" s="19" t="s">
        <v>5570</v>
      </c>
      <c r="V367" s="19">
        <v>951</v>
      </c>
      <c r="W367" s="115">
        <v>2361.2150799999999</v>
      </c>
      <c r="X367" s="115">
        <f t="shared" si="72"/>
        <v>2245515.5410799999</v>
      </c>
      <c r="Y367" s="259" t="s">
        <v>5096</v>
      </c>
      <c r="AI367" s="20">
        <v>72</v>
      </c>
      <c r="AJ367" s="20" t="s">
        <v>4924</v>
      </c>
      <c r="AK367" s="115">
        <v>206000</v>
      </c>
      <c r="AL367" s="20">
        <v>0</v>
      </c>
      <c r="AM367" s="20">
        <f t="shared" si="73"/>
        <v>654</v>
      </c>
      <c r="AN367" s="20">
        <f t="shared" si="74"/>
        <v>134724000</v>
      </c>
      <c r="AO367" s="20"/>
    </row>
    <row r="368" spans="18:46">
      <c r="R368" s="97" t="s">
        <v>4946</v>
      </c>
      <c r="S368" s="93">
        <v>-5949277</v>
      </c>
      <c r="U368" s="19" t="s">
        <v>5572</v>
      </c>
      <c r="V368" s="19">
        <v>7622</v>
      </c>
      <c r="W368" s="115">
        <v>2414.6810999999998</v>
      </c>
      <c r="X368" s="115">
        <f t="shared" si="72"/>
        <v>18404699.3442</v>
      </c>
      <c r="Y368" s="259" t="s">
        <v>5096</v>
      </c>
      <c r="AC368" t="s">
        <v>25</v>
      </c>
      <c r="AI368" s="147">
        <v>73</v>
      </c>
      <c r="AJ368" s="147" t="s">
        <v>4924</v>
      </c>
      <c r="AK368" s="186">
        <v>206000</v>
      </c>
      <c r="AL368" s="147">
        <v>2</v>
      </c>
      <c r="AM368" s="147">
        <f t="shared" si="73"/>
        <v>654</v>
      </c>
      <c r="AN368" s="147">
        <f t="shared" si="74"/>
        <v>134724000</v>
      </c>
      <c r="AO368" s="147"/>
    </row>
    <row r="369" spans="18:46">
      <c r="R369" s="97" t="s">
        <v>4952</v>
      </c>
      <c r="S369" s="93">
        <v>-15370656</v>
      </c>
      <c r="U369" s="19" t="s">
        <v>5572</v>
      </c>
      <c r="V369" s="19">
        <v>-282</v>
      </c>
      <c r="W369" s="115">
        <v>2414.6810999999998</v>
      </c>
      <c r="X369" s="115">
        <f t="shared" si="72"/>
        <v>-680940.07019999996</v>
      </c>
      <c r="Y369" s="259" t="s">
        <v>5573</v>
      </c>
      <c r="AI369" s="20">
        <v>74</v>
      </c>
      <c r="AJ369" s="20" t="s">
        <v>4931</v>
      </c>
      <c r="AK369" s="115">
        <v>50000</v>
      </c>
      <c r="AL369" s="20">
        <v>0</v>
      </c>
      <c r="AM369" s="20">
        <f t="shared" si="73"/>
        <v>652</v>
      </c>
      <c r="AN369" s="20">
        <f t="shared" si="74"/>
        <v>32600000</v>
      </c>
      <c r="AO369" s="20"/>
    </row>
    <row r="370" spans="18:46">
      <c r="R370" s="97" t="s">
        <v>4952</v>
      </c>
      <c r="S370" s="93">
        <v>4960000</v>
      </c>
      <c r="U370" s="19" t="s">
        <v>5572</v>
      </c>
      <c r="V370" s="19">
        <v>20162</v>
      </c>
      <c r="W370" s="115">
        <v>2414.6810999999998</v>
      </c>
      <c r="X370" s="115">
        <f t="shared" si="72"/>
        <v>48684800.338199995</v>
      </c>
      <c r="Y370" s="259" t="s">
        <v>5574</v>
      </c>
      <c r="AI370" s="239">
        <v>75</v>
      </c>
      <c r="AJ370" s="239" t="s">
        <v>4931</v>
      </c>
      <c r="AK370" s="230">
        <v>50000</v>
      </c>
      <c r="AL370" s="239">
        <v>2</v>
      </c>
      <c r="AM370" s="239">
        <f t="shared" si="73"/>
        <v>652</v>
      </c>
      <c r="AN370" s="239">
        <f t="shared" si="74"/>
        <v>32600000</v>
      </c>
      <c r="AO370" s="239"/>
    </row>
    <row r="371" spans="18:46">
      <c r="R371" s="97" t="s">
        <v>4959</v>
      </c>
      <c r="S371" s="93">
        <v>10000000</v>
      </c>
      <c r="U371" s="19" t="s">
        <v>5572</v>
      </c>
      <c r="V371" s="19">
        <v>-20162</v>
      </c>
      <c r="W371" s="115">
        <v>2414.6810999999998</v>
      </c>
      <c r="X371" s="115">
        <f t="shared" si="72"/>
        <v>-48684800.338199995</v>
      </c>
      <c r="Y371" s="259" t="s">
        <v>743</v>
      </c>
      <c r="AI371" s="20">
        <v>76</v>
      </c>
      <c r="AJ371" s="20" t="s">
        <v>4935</v>
      </c>
      <c r="AK371" s="115">
        <v>20000000</v>
      </c>
      <c r="AL371" s="20">
        <v>7</v>
      </c>
      <c r="AM371" s="20">
        <f t="shared" si="73"/>
        <v>650</v>
      </c>
      <c r="AN371" s="20">
        <f t="shared" si="74"/>
        <v>13000000000</v>
      </c>
      <c r="AO371" s="20" t="s">
        <v>4936</v>
      </c>
    </row>
    <row r="372" spans="18:46">
      <c r="R372" s="97" t="s">
        <v>4968</v>
      </c>
      <c r="S372" s="93">
        <v>-40570100</v>
      </c>
      <c r="U372" s="19" t="s">
        <v>5575</v>
      </c>
      <c r="V372" s="19">
        <v>977</v>
      </c>
      <c r="W372" s="115">
        <v>2317.971947</v>
      </c>
      <c r="X372" s="115">
        <f t="shared" si="72"/>
        <v>2264658.5922190002</v>
      </c>
      <c r="Y372" s="259" t="s">
        <v>5096</v>
      </c>
      <c r="AI372" s="20">
        <v>77</v>
      </c>
      <c r="AJ372" s="20" t="s">
        <v>4946</v>
      </c>
      <c r="AK372" s="115">
        <v>50000</v>
      </c>
      <c r="AL372" s="20">
        <v>0</v>
      </c>
      <c r="AM372" s="20">
        <f t="shared" si="73"/>
        <v>643</v>
      </c>
      <c r="AN372" s="20">
        <f t="shared" si="74"/>
        <v>32150000</v>
      </c>
      <c r="AO372" s="20"/>
      <c r="AS372" t="s">
        <v>25</v>
      </c>
    </row>
    <row r="373" spans="18:46">
      <c r="R373" s="97" t="s">
        <v>4969</v>
      </c>
      <c r="S373" s="93">
        <v>1000000</v>
      </c>
      <c r="U373" s="19" t="s">
        <v>5577</v>
      </c>
      <c r="V373" s="19">
        <v>10280</v>
      </c>
      <c r="W373" s="115">
        <v>2225.429357</v>
      </c>
      <c r="X373" s="115">
        <f t="shared" si="72"/>
        <v>22877413.789960001</v>
      </c>
      <c r="Y373" s="259" t="s">
        <v>5096</v>
      </c>
      <c r="AI373" s="147">
        <v>78</v>
      </c>
      <c r="AJ373" s="147" t="s">
        <v>4946</v>
      </c>
      <c r="AK373" s="186">
        <v>50000</v>
      </c>
      <c r="AL373" s="147">
        <v>7</v>
      </c>
      <c r="AM373" s="147">
        <f t="shared" si="73"/>
        <v>643</v>
      </c>
      <c r="AN373" s="147">
        <f t="shared" si="74"/>
        <v>32150000</v>
      </c>
      <c r="AO373" s="147"/>
    </row>
    <row r="374" spans="18:46">
      <c r="R374" s="97" t="s">
        <v>4976</v>
      </c>
      <c r="S374" s="93">
        <v>400000</v>
      </c>
      <c r="U374" s="19" t="s">
        <v>5580</v>
      </c>
      <c r="V374" s="19">
        <v>1022</v>
      </c>
      <c r="W374" s="115">
        <v>2311.6824240000001</v>
      </c>
      <c r="X374" s="115">
        <f t="shared" si="72"/>
        <v>2362539.4373280001</v>
      </c>
      <c r="Y374" s="259" t="s">
        <v>5096</v>
      </c>
      <c r="AI374" s="20">
        <v>79</v>
      </c>
      <c r="AJ374" s="20" t="s">
        <v>4952</v>
      </c>
      <c r="AK374" s="115">
        <v>2480000</v>
      </c>
      <c r="AL374" s="20">
        <v>0</v>
      </c>
      <c r="AM374" s="20">
        <f t="shared" si="73"/>
        <v>636</v>
      </c>
      <c r="AN374" s="20">
        <f t="shared" si="74"/>
        <v>1577280000</v>
      </c>
      <c r="AO374" s="20"/>
      <c r="AT374" t="s">
        <v>25</v>
      </c>
    </row>
    <row r="375" spans="18:46">
      <c r="R375" s="97" t="s">
        <v>4990</v>
      </c>
      <c r="S375" s="93">
        <v>120000</v>
      </c>
      <c r="U375" s="19" t="s">
        <v>5581</v>
      </c>
      <c r="V375" s="19">
        <v>6818</v>
      </c>
      <c r="W375" s="115">
        <v>2352.988656</v>
      </c>
      <c r="X375" s="115">
        <f t="shared" si="72"/>
        <v>16042676.656608</v>
      </c>
      <c r="Y375" s="259" t="s">
        <v>5096</v>
      </c>
      <c r="AI375" s="147">
        <v>80</v>
      </c>
      <c r="AJ375" s="147" t="s">
        <v>4952</v>
      </c>
      <c r="AK375" s="186">
        <v>2480000</v>
      </c>
      <c r="AL375" s="147">
        <v>12</v>
      </c>
      <c r="AM375" s="147">
        <f t="shared" si="73"/>
        <v>636</v>
      </c>
      <c r="AN375" s="147">
        <f t="shared" si="74"/>
        <v>1577280000</v>
      </c>
      <c r="AO375" s="147"/>
    </row>
    <row r="376" spans="18:46">
      <c r="R376" s="97" t="s">
        <v>4981</v>
      </c>
      <c r="S376" s="93">
        <v>500000</v>
      </c>
      <c r="U376" s="19" t="s">
        <v>5582</v>
      </c>
      <c r="V376" s="19">
        <v>8023</v>
      </c>
      <c r="W376" s="115">
        <v>2293.8167079999998</v>
      </c>
      <c r="X376" s="115">
        <f t="shared" si="72"/>
        <v>18403291.448284</v>
      </c>
      <c r="Y376" s="259" t="s">
        <v>5096</v>
      </c>
      <c r="AI376" s="20">
        <v>81</v>
      </c>
      <c r="AJ376" s="20" t="s">
        <v>4959</v>
      </c>
      <c r="AK376" s="115">
        <v>-24159500</v>
      </c>
      <c r="AL376" s="20">
        <v>4</v>
      </c>
      <c r="AM376" s="20">
        <f t="shared" si="73"/>
        <v>624</v>
      </c>
      <c r="AN376" s="20">
        <f t="shared" si="74"/>
        <v>-15075528000</v>
      </c>
      <c r="AO376" s="20" t="s">
        <v>4967</v>
      </c>
    </row>
    <row r="377" spans="18:46">
      <c r="R377" s="97" t="s">
        <v>5006</v>
      </c>
      <c r="S377" s="93">
        <v>744000</v>
      </c>
      <c r="U377" s="19" t="s">
        <v>5585</v>
      </c>
      <c r="V377" s="19">
        <v>4666</v>
      </c>
      <c r="W377" s="115">
        <v>2263.4906230000001</v>
      </c>
      <c r="X377" s="115">
        <f t="shared" si="72"/>
        <v>10561447.246918</v>
      </c>
      <c r="Y377" s="259" t="s">
        <v>5096</v>
      </c>
      <c r="AI377" s="20">
        <v>82</v>
      </c>
      <c r="AJ377" s="20" t="s">
        <v>4969</v>
      </c>
      <c r="AK377" s="115">
        <v>400000</v>
      </c>
      <c r="AL377" s="20">
        <v>3</v>
      </c>
      <c r="AM377" s="20">
        <f t="shared" si="73"/>
        <v>620</v>
      </c>
      <c r="AN377" s="20">
        <f t="shared" si="74"/>
        <v>248000000</v>
      </c>
      <c r="AO377" s="20"/>
      <c r="AS377" t="s">
        <v>25</v>
      </c>
    </row>
    <row r="378" spans="18:46">
      <c r="R378" s="97" t="s">
        <v>5011</v>
      </c>
      <c r="S378" s="93">
        <v>65000</v>
      </c>
      <c r="T378" t="s">
        <v>25</v>
      </c>
      <c r="U378" s="19" t="s">
        <v>5586</v>
      </c>
      <c r="V378" s="19">
        <v>542</v>
      </c>
      <c r="W378" s="115">
        <v>2263.4906230000001</v>
      </c>
      <c r="X378" s="115">
        <f t="shared" si="72"/>
        <v>1226811.9176660001</v>
      </c>
      <c r="Y378" s="259" t="s">
        <v>5096</v>
      </c>
      <c r="AI378" s="147">
        <v>83</v>
      </c>
      <c r="AJ378" s="147" t="s">
        <v>4976</v>
      </c>
      <c r="AK378" s="186">
        <v>40000</v>
      </c>
      <c r="AL378" s="147">
        <v>0</v>
      </c>
      <c r="AM378" s="147">
        <f t="shared" si="73"/>
        <v>617</v>
      </c>
      <c r="AN378" s="147">
        <f t="shared" si="74"/>
        <v>24680000</v>
      </c>
      <c r="AO378" s="147"/>
    </row>
    <row r="379" spans="18:46">
      <c r="R379" s="97" t="s">
        <v>4982</v>
      </c>
      <c r="S379" s="93">
        <v>-14053702</v>
      </c>
      <c r="U379" s="19" t="s">
        <v>5587</v>
      </c>
      <c r="V379" s="19">
        <v>16629</v>
      </c>
      <c r="W379" s="115">
        <v>2367.7887540000002</v>
      </c>
      <c r="X379" s="115">
        <f t="shared" si="72"/>
        <v>39373959.190266006</v>
      </c>
      <c r="Y379" s="259" t="s">
        <v>5096</v>
      </c>
      <c r="AI379" s="20">
        <v>84</v>
      </c>
      <c r="AJ379" s="20" t="s">
        <v>4976</v>
      </c>
      <c r="AK379" s="115">
        <v>40000</v>
      </c>
      <c r="AL379" s="20">
        <v>5</v>
      </c>
      <c r="AM379" s="20">
        <f t="shared" si="73"/>
        <v>617</v>
      </c>
      <c r="AN379" s="20">
        <f t="shared" si="74"/>
        <v>24680000</v>
      </c>
      <c r="AO379" s="20"/>
    </row>
    <row r="380" spans="18:46">
      <c r="R380" s="97" t="s">
        <v>5047</v>
      </c>
      <c r="S380" s="93">
        <v>3555678</v>
      </c>
      <c r="U380" s="19" t="s">
        <v>5592</v>
      </c>
      <c r="V380" s="19">
        <v>11765</v>
      </c>
      <c r="W380" s="115">
        <v>2354.7375320000001</v>
      </c>
      <c r="X380" s="115">
        <f t="shared" si="72"/>
        <v>27703487.063980002</v>
      </c>
      <c r="Y380" s="259" t="s">
        <v>5096</v>
      </c>
      <c r="AI380" s="20">
        <v>85</v>
      </c>
      <c r="AJ380" s="20" t="s">
        <v>4984</v>
      </c>
      <c r="AK380" s="115">
        <v>200000</v>
      </c>
      <c r="AL380" s="20">
        <v>1</v>
      </c>
      <c r="AM380" s="20">
        <f t="shared" si="73"/>
        <v>612</v>
      </c>
      <c r="AN380" s="20">
        <f t="shared" si="74"/>
        <v>122400000</v>
      </c>
      <c r="AO380" s="20"/>
    </row>
    <row r="381" spans="18:46">
      <c r="R381" s="97" t="s">
        <v>5051</v>
      </c>
      <c r="S381" s="93">
        <v>3495</v>
      </c>
      <c r="U381" s="19" t="s">
        <v>5593</v>
      </c>
      <c r="V381" s="19">
        <v>3672</v>
      </c>
      <c r="W381" s="115">
        <v>2379.873826</v>
      </c>
      <c r="X381" s="115">
        <f t="shared" si="72"/>
        <v>8738896.6890719999</v>
      </c>
      <c r="Y381" s="259" t="s">
        <v>5096</v>
      </c>
      <c r="AA381" t="s">
        <v>25</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5053</v>
      </c>
      <c r="S382" s="93">
        <v>6000000</v>
      </c>
      <c r="U382" s="19" t="s">
        <v>4182</v>
      </c>
      <c r="V382" s="19">
        <v>140</v>
      </c>
      <c r="W382" s="115">
        <v>2487.154767</v>
      </c>
      <c r="X382" s="115">
        <f t="shared" si="72"/>
        <v>348201.66738</v>
      </c>
      <c r="Y382" s="259" t="s">
        <v>5096</v>
      </c>
      <c r="AI382" s="20">
        <v>87</v>
      </c>
      <c r="AJ382" s="20" t="s">
        <v>4990</v>
      </c>
      <c r="AK382" s="115">
        <v>500000</v>
      </c>
      <c r="AL382" s="20">
        <v>3</v>
      </c>
      <c r="AM382" s="20">
        <f t="shared" si="75"/>
        <v>609</v>
      </c>
      <c r="AN382" s="20">
        <f t="shared" si="76"/>
        <v>304500000</v>
      </c>
      <c r="AO382" s="20"/>
    </row>
    <row r="383" spans="18:46">
      <c r="R383" s="97" t="s">
        <v>5054</v>
      </c>
      <c r="S383" s="93">
        <v>17220</v>
      </c>
      <c r="U383" s="19" t="s">
        <v>5595</v>
      </c>
      <c r="V383" s="19">
        <v>1616</v>
      </c>
      <c r="W383" s="115">
        <v>2573.0760479999999</v>
      </c>
      <c r="X383" s="115">
        <f t="shared" si="72"/>
        <v>4158090.8935679998</v>
      </c>
      <c r="Y383" s="259" t="s">
        <v>5096</v>
      </c>
      <c r="AI383" s="20">
        <v>88</v>
      </c>
      <c r="AJ383" s="20" t="s">
        <v>4981</v>
      </c>
      <c r="AK383" s="115">
        <v>250000</v>
      </c>
      <c r="AL383" s="20">
        <v>0</v>
      </c>
      <c r="AM383" s="20">
        <f t="shared" si="75"/>
        <v>606</v>
      </c>
      <c r="AN383" s="20">
        <f t="shared" si="76"/>
        <v>151500000</v>
      </c>
      <c r="AO383" s="20"/>
    </row>
    <row r="384" spans="18:46">
      <c r="R384" s="97" t="s">
        <v>5056</v>
      </c>
      <c r="S384" s="93">
        <v>8249</v>
      </c>
      <c r="U384" s="187" t="s">
        <v>5596</v>
      </c>
      <c r="V384" s="187">
        <v>5682</v>
      </c>
      <c r="W384" s="186">
        <v>2639.970566</v>
      </c>
      <c r="X384" s="186">
        <f t="shared" si="72"/>
        <v>15000312.756012</v>
      </c>
      <c r="Y384" s="258" t="s">
        <v>5815</v>
      </c>
      <c r="AI384" s="239">
        <v>89</v>
      </c>
      <c r="AJ384" s="239" t="s">
        <v>4981</v>
      </c>
      <c r="AK384" s="230">
        <v>245000</v>
      </c>
      <c r="AL384" s="239">
        <v>16</v>
      </c>
      <c r="AM384" s="239">
        <f t="shared" si="75"/>
        <v>606</v>
      </c>
      <c r="AN384" s="239">
        <f t="shared" si="76"/>
        <v>148470000</v>
      </c>
      <c r="AO384" s="239"/>
    </row>
    <row r="385" spans="16:46" ht="30">
      <c r="R385" s="97" t="s">
        <v>5056</v>
      </c>
      <c r="S385" s="93">
        <v>6937</v>
      </c>
      <c r="U385" s="187" t="s">
        <v>5596</v>
      </c>
      <c r="V385" s="187">
        <v>-122</v>
      </c>
      <c r="W385" s="186">
        <v>2639.970566</v>
      </c>
      <c r="X385" s="186">
        <f t="shared" si="72"/>
        <v>-322076.40905199997</v>
      </c>
      <c r="Y385" s="258" t="s">
        <v>5842</v>
      </c>
      <c r="Z385" t="s">
        <v>25</v>
      </c>
      <c r="AI385" s="20">
        <v>90</v>
      </c>
      <c r="AJ385" s="20" t="s">
        <v>5015</v>
      </c>
      <c r="AK385" s="115">
        <v>312598</v>
      </c>
      <c r="AL385" s="20">
        <v>0</v>
      </c>
      <c r="AM385" s="20">
        <f t="shared" si="75"/>
        <v>590</v>
      </c>
      <c r="AN385" s="20">
        <f t="shared" si="76"/>
        <v>184432820</v>
      </c>
      <c r="AO385" s="20"/>
    </row>
    <row r="386" spans="16:46">
      <c r="R386" s="97" t="s">
        <v>5059</v>
      </c>
      <c r="S386" s="93">
        <v>4046552</v>
      </c>
      <c r="U386" s="19" t="s">
        <v>5596</v>
      </c>
      <c r="V386" s="19">
        <v>2272</v>
      </c>
      <c r="W386" s="115">
        <v>2639.970566</v>
      </c>
      <c r="X386" s="115">
        <f t="shared" si="72"/>
        <v>5998013.1259519998</v>
      </c>
      <c r="Y386" s="259" t="s">
        <v>5605</v>
      </c>
      <c r="AI386" s="20">
        <v>91</v>
      </c>
      <c r="AJ386" s="20" t="s">
        <v>5015</v>
      </c>
      <c r="AK386" s="115">
        <v>780000</v>
      </c>
      <c r="AL386" s="20">
        <v>0</v>
      </c>
      <c r="AM386" s="20">
        <f t="shared" si="75"/>
        <v>590</v>
      </c>
      <c r="AN386" s="20">
        <f t="shared" si="76"/>
        <v>460200000</v>
      </c>
      <c r="AO386" s="20"/>
      <c r="AR386" t="s">
        <v>25</v>
      </c>
    </row>
    <row r="387" spans="16:46" ht="30">
      <c r="R387" s="97" t="s">
        <v>5066</v>
      </c>
      <c r="S387" s="93">
        <v>-3884943</v>
      </c>
      <c r="U387" s="19" t="s">
        <v>5596</v>
      </c>
      <c r="V387" s="19">
        <v>4434</v>
      </c>
      <c r="W387" s="115">
        <v>2639.970566</v>
      </c>
      <c r="X387" s="115">
        <f t="shared" si="72"/>
        <v>11705629.489644</v>
      </c>
      <c r="Y387" s="259" t="s">
        <v>5606</v>
      </c>
      <c r="AB387" t="s">
        <v>25</v>
      </c>
      <c r="AG387" s="94" t="s">
        <v>25</v>
      </c>
      <c r="AI387" s="191">
        <v>92</v>
      </c>
      <c r="AJ387" s="191" t="s">
        <v>5015</v>
      </c>
      <c r="AK387" s="192">
        <v>-300000</v>
      </c>
      <c r="AL387" s="191">
        <v>1</v>
      </c>
      <c r="AM387" s="191">
        <f t="shared" si="75"/>
        <v>590</v>
      </c>
      <c r="AN387" s="191">
        <f t="shared" si="76"/>
        <v>-177000000</v>
      </c>
      <c r="AO387" s="191"/>
    </row>
    <row r="388" spans="16:46">
      <c r="R388" s="97" t="s">
        <v>5092</v>
      </c>
      <c r="S388" s="93">
        <v>6022</v>
      </c>
      <c r="U388" s="19" t="s">
        <v>5596</v>
      </c>
      <c r="V388" s="19">
        <v>2349</v>
      </c>
      <c r="W388" s="115">
        <v>2639.970566</v>
      </c>
      <c r="X388" s="115">
        <f t="shared" si="72"/>
        <v>6201290.859534</v>
      </c>
      <c r="Y388" s="259" t="s">
        <v>5607</v>
      </c>
      <c r="AI388" s="20">
        <v>93</v>
      </c>
      <c r="AJ388" s="20" t="s">
        <v>4982</v>
      </c>
      <c r="AK388" s="115">
        <v>300000</v>
      </c>
      <c r="AL388" s="20">
        <v>0</v>
      </c>
      <c r="AM388" s="20">
        <f t="shared" si="75"/>
        <v>589</v>
      </c>
      <c r="AN388" s="20">
        <f t="shared" si="76"/>
        <v>176700000</v>
      </c>
      <c r="AO388" s="20"/>
      <c r="AT388" t="s">
        <v>25</v>
      </c>
    </row>
    <row r="389" spans="16:46">
      <c r="R389" s="97" t="s">
        <v>5095</v>
      </c>
      <c r="S389" s="93">
        <v>400000</v>
      </c>
      <c r="U389" s="19" t="s">
        <v>5596</v>
      </c>
      <c r="V389" s="19">
        <v>-568</v>
      </c>
      <c r="W389" s="115">
        <v>2639.970566</v>
      </c>
      <c r="X389" s="115">
        <f t="shared" si="72"/>
        <v>-1499503.2814879999</v>
      </c>
      <c r="Y389" s="259" t="s">
        <v>5608</v>
      </c>
      <c r="Z389" t="s">
        <v>25</v>
      </c>
      <c r="AI389" s="20">
        <v>94</v>
      </c>
      <c r="AJ389" s="20" t="s">
        <v>4982</v>
      </c>
      <c r="AK389" s="115">
        <v>8660000</v>
      </c>
      <c r="AL389" s="20">
        <v>8</v>
      </c>
      <c r="AM389" s="20">
        <f t="shared" si="75"/>
        <v>589</v>
      </c>
      <c r="AN389" s="20">
        <f t="shared" si="76"/>
        <v>5100740000</v>
      </c>
      <c r="AO389" s="20"/>
    </row>
    <row r="390" spans="16:46">
      <c r="R390" s="97" t="s">
        <v>5095</v>
      </c>
      <c r="S390" s="93">
        <v>92847</v>
      </c>
      <c r="U390" s="19" t="s">
        <v>5596</v>
      </c>
      <c r="V390" s="19">
        <v>568</v>
      </c>
      <c r="W390" s="115">
        <v>2639.970566</v>
      </c>
      <c r="X390" s="115">
        <f t="shared" si="72"/>
        <v>1499503.2814879999</v>
      </c>
      <c r="Y390" s="259" t="s">
        <v>5608</v>
      </c>
      <c r="AI390" s="147">
        <v>95</v>
      </c>
      <c r="AJ390" s="147" t="s">
        <v>5032</v>
      </c>
      <c r="AK390" s="186">
        <v>200000</v>
      </c>
      <c r="AL390" s="147">
        <v>3</v>
      </c>
      <c r="AM390" s="147">
        <f t="shared" si="75"/>
        <v>581</v>
      </c>
      <c r="AN390" s="147">
        <f t="shared" si="76"/>
        <v>116200000</v>
      </c>
      <c r="AO390" s="147"/>
    </row>
    <row r="391" spans="16:46">
      <c r="R391" s="97" t="s">
        <v>5099</v>
      </c>
      <c r="S391" s="93">
        <v>-100000</v>
      </c>
      <c r="U391" s="19" t="s">
        <v>5599</v>
      </c>
      <c r="V391" s="19">
        <v>4589</v>
      </c>
      <c r="W391" s="115">
        <v>2639.970566</v>
      </c>
      <c r="X391" s="115">
        <f t="shared" si="72"/>
        <v>12114824.927374</v>
      </c>
      <c r="Y391" s="259" t="s">
        <v>5609</v>
      </c>
      <c r="Z391" t="s">
        <v>25</v>
      </c>
      <c r="AI391" s="147">
        <v>96</v>
      </c>
      <c r="AJ391" s="147" t="s">
        <v>5035</v>
      </c>
      <c r="AK391" s="186">
        <v>20000</v>
      </c>
      <c r="AL391" s="147">
        <v>1</v>
      </c>
      <c r="AM391" s="147">
        <f t="shared" si="75"/>
        <v>578</v>
      </c>
      <c r="AN391" s="147">
        <f t="shared" si="76"/>
        <v>11560000</v>
      </c>
      <c r="AO391" s="147"/>
    </row>
    <row r="392" spans="16:46">
      <c r="R392" s="97" t="s">
        <v>5104</v>
      </c>
      <c r="S392" s="93">
        <v>10000000</v>
      </c>
      <c r="U392" s="19" t="s">
        <v>5599</v>
      </c>
      <c r="V392" s="19">
        <v>41959</v>
      </c>
      <c r="W392" s="115">
        <v>2639.970566</v>
      </c>
      <c r="X392" s="115">
        <f t="shared" ref="X392:X570" si="77">V392*W392</f>
        <v>110770524.97879399</v>
      </c>
      <c r="Y392" s="259" t="s">
        <v>5096</v>
      </c>
      <c r="AI392" s="20">
        <v>97</v>
      </c>
      <c r="AJ392" s="20" t="s">
        <v>5045</v>
      </c>
      <c r="AK392" s="115">
        <v>14340000</v>
      </c>
      <c r="AL392" s="20">
        <v>7</v>
      </c>
      <c r="AM392" s="20">
        <f t="shared" si="75"/>
        <v>577</v>
      </c>
      <c r="AN392" s="20">
        <f t="shared" si="76"/>
        <v>8274180000</v>
      </c>
      <c r="AO392" s="20"/>
    </row>
    <row r="393" spans="16:46">
      <c r="P393" t="s">
        <v>25</v>
      </c>
      <c r="R393" s="97" t="s">
        <v>5108</v>
      </c>
      <c r="S393" s="93">
        <v>-400000</v>
      </c>
      <c r="U393" s="19" t="s">
        <v>5611</v>
      </c>
      <c r="V393" s="19">
        <v>2486</v>
      </c>
      <c r="W393" s="115">
        <v>2688.7156100000002</v>
      </c>
      <c r="X393" s="115">
        <f t="shared" si="77"/>
        <v>6684147.0064600008</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5110</v>
      </c>
      <c r="S394" s="93">
        <v>5649</v>
      </c>
      <c r="U394" s="19" t="s">
        <v>5614</v>
      </c>
      <c r="V394" s="19">
        <v>652</v>
      </c>
      <c r="W394" s="115">
        <v>2801.4344030000002</v>
      </c>
      <c r="X394" s="115">
        <f t="shared" si="77"/>
        <v>1826535.2307560001</v>
      </c>
      <c r="Y394" s="259" t="s">
        <v>5096</v>
      </c>
      <c r="AI394" s="20">
        <v>99</v>
      </c>
      <c r="AJ394" s="20" t="s">
        <v>5056</v>
      </c>
      <c r="AK394" s="115">
        <v>4033949</v>
      </c>
      <c r="AL394" s="20">
        <v>2</v>
      </c>
      <c r="AM394" s="20">
        <f t="shared" si="75"/>
        <v>564</v>
      </c>
      <c r="AN394" s="20">
        <f t="shared" si="76"/>
        <v>2275147236</v>
      </c>
      <c r="AO394" s="20" t="s">
        <v>5058</v>
      </c>
    </row>
    <row r="395" spans="16:46">
      <c r="R395" s="97" t="s">
        <v>5111</v>
      </c>
      <c r="S395" s="93">
        <v>460000</v>
      </c>
      <c r="U395" s="187" t="s">
        <v>5614</v>
      </c>
      <c r="V395" s="187">
        <v>-536</v>
      </c>
      <c r="W395" s="186">
        <v>2801.4344030000002</v>
      </c>
      <c r="X395" s="186">
        <f t="shared" si="77"/>
        <v>-1501568.8400080001</v>
      </c>
      <c r="Y395" s="258" t="s">
        <v>5626</v>
      </c>
      <c r="AI395" s="147">
        <v>100</v>
      </c>
      <c r="AJ395" s="147" t="s">
        <v>5062</v>
      </c>
      <c r="AK395" s="186">
        <v>11500000</v>
      </c>
      <c r="AL395" s="147">
        <v>2</v>
      </c>
      <c r="AM395" s="147">
        <f t="shared" si="75"/>
        <v>562</v>
      </c>
      <c r="AN395" s="147">
        <f t="shared" si="76"/>
        <v>6463000000</v>
      </c>
      <c r="AO395" s="147" t="s">
        <v>5064</v>
      </c>
    </row>
    <row r="396" spans="16:46">
      <c r="R396" s="97" t="s">
        <v>5111</v>
      </c>
      <c r="S396" s="93">
        <v>1300000</v>
      </c>
      <c r="U396" s="19" t="s">
        <v>5618</v>
      </c>
      <c r="V396" s="19">
        <v>1351</v>
      </c>
      <c r="W396" s="115">
        <v>2647.94</v>
      </c>
      <c r="X396" s="115">
        <f t="shared" si="77"/>
        <v>3577366.94</v>
      </c>
      <c r="Y396" s="259" t="s">
        <v>5096</v>
      </c>
      <c r="AI396" s="147">
        <v>101</v>
      </c>
      <c r="AJ396" s="147" t="s">
        <v>5066</v>
      </c>
      <c r="AK396" s="186">
        <v>250000</v>
      </c>
      <c r="AL396" s="147">
        <v>3</v>
      </c>
      <c r="AM396" s="147">
        <f t="shared" si="75"/>
        <v>560</v>
      </c>
      <c r="AN396" s="147">
        <f t="shared" si="76"/>
        <v>140000000</v>
      </c>
      <c r="AO396" s="147"/>
    </row>
    <row r="397" spans="16:46">
      <c r="R397" s="97" t="s">
        <v>975</v>
      </c>
      <c r="S397" s="93">
        <v>7300000</v>
      </c>
      <c r="U397" s="19" t="s">
        <v>5620</v>
      </c>
      <c r="V397" s="19">
        <v>8402</v>
      </c>
      <c r="W397" s="115">
        <v>2527.8539839999999</v>
      </c>
      <c r="X397" s="115">
        <f t="shared" si="77"/>
        <v>21239029.173567999</v>
      </c>
      <c r="Y397" s="259" t="s">
        <v>5096</v>
      </c>
      <c r="AI397" s="147">
        <v>102</v>
      </c>
      <c r="AJ397" s="147" t="s">
        <v>5091</v>
      </c>
      <c r="AK397" s="186">
        <v>6000000</v>
      </c>
      <c r="AL397" s="147">
        <v>1</v>
      </c>
      <c r="AM397" s="147">
        <f t="shared" si="75"/>
        <v>557</v>
      </c>
      <c r="AN397" s="147">
        <f t="shared" si="76"/>
        <v>3342000000</v>
      </c>
      <c r="AO397" s="147" t="s">
        <v>5064</v>
      </c>
    </row>
    <row r="398" spans="16:46" ht="21" customHeight="1">
      <c r="R398" s="97" t="s">
        <v>4253</v>
      </c>
      <c r="S398" s="93">
        <v>21203</v>
      </c>
      <c r="U398" s="19" t="s">
        <v>5623</v>
      </c>
      <c r="V398" s="19">
        <v>98141</v>
      </c>
      <c r="W398" s="115">
        <v>2475.593813</v>
      </c>
      <c r="X398" s="115">
        <f t="shared" si="77"/>
        <v>242957252.40163299</v>
      </c>
      <c r="Y398" s="259" t="s">
        <v>5096</v>
      </c>
      <c r="AI398" s="147">
        <v>103</v>
      </c>
      <c r="AJ398" s="147" t="s">
        <v>5092</v>
      </c>
      <c r="AK398" s="186">
        <v>1500000</v>
      </c>
      <c r="AL398" s="147">
        <v>6</v>
      </c>
      <c r="AM398" s="147">
        <f t="shared" si="75"/>
        <v>556</v>
      </c>
      <c r="AN398" s="147">
        <f t="shared" si="76"/>
        <v>834000000</v>
      </c>
      <c r="AO398" s="147" t="s">
        <v>5064</v>
      </c>
    </row>
    <row r="399" spans="16:46">
      <c r="R399" s="97" t="s">
        <v>5109</v>
      </c>
      <c r="S399" s="93">
        <v>34550</v>
      </c>
      <c r="U399" s="19" t="s">
        <v>5627</v>
      </c>
      <c r="V399" s="19">
        <v>2910</v>
      </c>
      <c r="W399" s="115">
        <v>2528.240988</v>
      </c>
      <c r="X399" s="115">
        <f t="shared" si="77"/>
        <v>7357181.2750800001</v>
      </c>
      <c r="Y399" s="259" t="s">
        <v>5096</v>
      </c>
      <c r="AA399" t="s">
        <v>25</v>
      </c>
      <c r="AI399" s="20">
        <v>104</v>
      </c>
      <c r="AJ399" s="20" t="s">
        <v>958</v>
      </c>
      <c r="AK399" s="115">
        <v>-3960043</v>
      </c>
      <c r="AL399" s="20">
        <v>2</v>
      </c>
      <c r="AM399" s="20">
        <f t="shared" si="75"/>
        <v>550</v>
      </c>
      <c r="AN399" s="20">
        <f t="shared" si="76"/>
        <v>-2178023650</v>
      </c>
      <c r="AO399" s="20"/>
    </row>
    <row r="400" spans="16:46" ht="18" customHeight="1">
      <c r="R400" s="97" t="s">
        <v>5146</v>
      </c>
      <c r="S400" s="93">
        <v>-2134406</v>
      </c>
      <c r="T400" t="s">
        <v>25</v>
      </c>
      <c r="U400" s="19" t="s">
        <v>5629</v>
      </c>
      <c r="V400" s="19">
        <v>5652</v>
      </c>
      <c r="W400" s="115">
        <v>2645.3312000000001</v>
      </c>
      <c r="X400" s="115">
        <f t="shared" si="77"/>
        <v>14951411.942400001</v>
      </c>
      <c r="Y400" s="259" t="s">
        <v>5096</v>
      </c>
      <c r="AI400" s="20">
        <v>105</v>
      </c>
      <c r="AJ400" s="20" t="s">
        <v>5110</v>
      </c>
      <c r="AK400" s="115">
        <v>230000</v>
      </c>
      <c r="AL400" s="20">
        <v>0</v>
      </c>
      <c r="AM400" s="20">
        <f t="shared" si="75"/>
        <v>548</v>
      </c>
      <c r="AN400" s="20">
        <f t="shared" si="76"/>
        <v>126040000</v>
      </c>
      <c r="AO400" s="20"/>
    </row>
    <row r="401" spans="18:46" ht="21" customHeight="1">
      <c r="R401" s="97" t="s">
        <v>5149</v>
      </c>
      <c r="S401" s="93">
        <v>-618906</v>
      </c>
      <c r="U401" s="19" t="s">
        <v>5633</v>
      </c>
      <c r="V401" s="19">
        <v>18764</v>
      </c>
      <c r="W401" s="115">
        <v>2554.2639829999998</v>
      </c>
      <c r="X401" s="115">
        <f t="shared" si="77"/>
        <v>47928209.377011999</v>
      </c>
      <c r="Y401" s="259" t="s">
        <v>5096</v>
      </c>
      <c r="AE401" t="s">
        <v>25</v>
      </c>
      <c r="AI401" s="147">
        <v>106</v>
      </c>
      <c r="AJ401" s="147" t="s">
        <v>5110</v>
      </c>
      <c r="AK401" s="186">
        <v>230000</v>
      </c>
      <c r="AL401" s="147">
        <v>1</v>
      </c>
      <c r="AM401" s="147">
        <f t="shared" si="75"/>
        <v>548</v>
      </c>
      <c r="AN401" s="147">
        <f t="shared" si="76"/>
        <v>126040000</v>
      </c>
      <c r="AO401" s="147"/>
    </row>
    <row r="402" spans="18:46">
      <c r="R402" s="97" t="s">
        <v>5191</v>
      </c>
      <c r="S402" s="93">
        <v>-54615</v>
      </c>
      <c r="U402" s="19" t="s">
        <v>5635</v>
      </c>
      <c r="V402" s="19">
        <v>930</v>
      </c>
      <c r="W402" s="115">
        <v>2453.3287089999999</v>
      </c>
      <c r="X402" s="115">
        <f t="shared" si="77"/>
        <v>2281595.69937</v>
      </c>
      <c r="Y402" s="259" t="s">
        <v>5096</v>
      </c>
      <c r="AB402" t="s">
        <v>25</v>
      </c>
      <c r="AI402" s="147">
        <v>107</v>
      </c>
      <c r="AJ402" s="147" t="s">
        <v>5111</v>
      </c>
      <c r="AK402" s="186">
        <v>500000</v>
      </c>
      <c r="AL402" s="147">
        <v>1</v>
      </c>
      <c r="AM402" s="147">
        <f t="shared" si="75"/>
        <v>547</v>
      </c>
      <c r="AN402" s="147">
        <f t="shared" si="76"/>
        <v>273500000</v>
      </c>
      <c r="AO402" s="147"/>
      <c r="AT402" t="s">
        <v>25</v>
      </c>
    </row>
    <row r="403" spans="18:46">
      <c r="R403" s="97" t="s">
        <v>5236</v>
      </c>
      <c r="S403" s="93">
        <v>18000000</v>
      </c>
      <c r="U403" s="19" t="s">
        <v>5637</v>
      </c>
      <c r="V403" s="19">
        <v>1167</v>
      </c>
      <c r="W403" s="115">
        <v>2540.6307069999998</v>
      </c>
      <c r="X403" s="115">
        <f t="shared" si="77"/>
        <v>2964916.035069</v>
      </c>
      <c r="Y403" s="259" t="s">
        <v>5096</v>
      </c>
      <c r="AI403" s="20">
        <v>108</v>
      </c>
      <c r="AJ403" s="20" t="s">
        <v>5114</v>
      </c>
      <c r="AK403" s="115">
        <v>-880000</v>
      </c>
      <c r="AL403" s="20">
        <v>4</v>
      </c>
      <c r="AM403" s="20">
        <f t="shared" si="75"/>
        <v>546</v>
      </c>
      <c r="AN403" s="20">
        <f t="shared" si="76"/>
        <v>-480480000</v>
      </c>
      <c r="AO403" s="20"/>
    </row>
    <row r="404" spans="18:46">
      <c r="R404" s="97" t="s">
        <v>5243</v>
      </c>
      <c r="S404" s="93">
        <v>20000000</v>
      </c>
      <c r="U404" s="19" t="s">
        <v>5638</v>
      </c>
      <c r="V404" s="19">
        <v>2538</v>
      </c>
      <c r="W404" s="115">
        <v>2545.5277489999999</v>
      </c>
      <c r="X404" s="115">
        <f t="shared" si="77"/>
        <v>6460549.4269619994</v>
      </c>
      <c r="Y404" s="259" t="s">
        <v>5096</v>
      </c>
      <c r="AA404" t="s">
        <v>25</v>
      </c>
      <c r="AB404" t="s">
        <v>25</v>
      </c>
      <c r="AI404" s="191">
        <v>109</v>
      </c>
      <c r="AJ404" s="191" t="s">
        <v>5118</v>
      </c>
      <c r="AK404" s="192">
        <v>873000</v>
      </c>
      <c r="AL404" s="191">
        <v>0</v>
      </c>
      <c r="AM404" s="191">
        <f t="shared" si="75"/>
        <v>542</v>
      </c>
      <c r="AN404" s="191">
        <f t="shared" si="76"/>
        <v>473166000</v>
      </c>
      <c r="AO404" s="191" t="s">
        <v>5064</v>
      </c>
    </row>
    <row r="405" spans="18:46">
      <c r="R405" s="97" t="s">
        <v>5317</v>
      </c>
      <c r="S405" s="93">
        <v>27694196</v>
      </c>
      <c r="U405" s="19" t="s">
        <v>5640</v>
      </c>
      <c r="V405" s="19">
        <v>2106</v>
      </c>
      <c r="W405" s="115">
        <v>2474.9857059999999</v>
      </c>
      <c r="X405" s="115">
        <f t="shared" si="77"/>
        <v>5212319.8968359996</v>
      </c>
      <c r="Y405" s="259" t="s">
        <v>5096</v>
      </c>
      <c r="AB405" t="s">
        <v>25</v>
      </c>
      <c r="AI405" s="20">
        <v>110</v>
      </c>
      <c r="AJ405" s="20" t="s">
        <v>5118</v>
      </c>
      <c r="AK405" s="115">
        <v>127000</v>
      </c>
      <c r="AL405" s="20">
        <v>0</v>
      </c>
      <c r="AM405" s="20">
        <f t="shared" si="75"/>
        <v>542</v>
      </c>
      <c r="AN405" s="20">
        <f t="shared" si="76"/>
        <v>68834000</v>
      </c>
      <c r="AO405" s="20" t="s">
        <v>5064</v>
      </c>
    </row>
    <row r="406" spans="18:46">
      <c r="R406" s="97" t="s">
        <v>5318</v>
      </c>
      <c r="S406" s="93">
        <v>7211722</v>
      </c>
      <c r="U406" s="19" t="s">
        <v>5643</v>
      </c>
      <c r="V406" s="19">
        <v>1801</v>
      </c>
      <c r="W406" s="115">
        <v>2512.2134809999998</v>
      </c>
      <c r="X406" s="115">
        <f t="shared" si="77"/>
        <v>4524496.4792809999</v>
      </c>
      <c r="Y406" s="259" t="s">
        <v>5096</v>
      </c>
      <c r="AI406" s="20">
        <v>111</v>
      </c>
      <c r="AJ406" s="20" t="s">
        <v>5118</v>
      </c>
      <c r="AK406" s="115">
        <v>73000</v>
      </c>
      <c r="AL406" s="20">
        <v>1</v>
      </c>
      <c r="AM406" s="20">
        <f t="shared" si="75"/>
        <v>542</v>
      </c>
      <c r="AN406" s="20">
        <f t="shared" si="76"/>
        <v>39566000</v>
      </c>
      <c r="AO406" s="20"/>
    </row>
    <row r="407" spans="18:46">
      <c r="R407" s="97" t="s">
        <v>5322</v>
      </c>
      <c r="S407" s="93">
        <v>8481864</v>
      </c>
      <c r="U407" s="19" t="s">
        <v>5645</v>
      </c>
      <c r="V407" s="19">
        <v>9184</v>
      </c>
      <c r="W407" s="115">
        <v>2489.76919</v>
      </c>
      <c r="X407" s="115">
        <f t="shared" si="77"/>
        <v>22866040.240959998</v>
      </c>
      <c r="Y407" s="259" t="s">
        <v>5096</v>
      </c>
      <c r="AI407" s="20">
        <v>112</v>
      </c>
      <c r="AJ407" s="20" t="s">
        <v>975</v>
      </c>
      <c r="AK407" s="115">
        <v>4300000</v>
      </c>
      <c r="AL407" s="20">
        <v>1</v>
      </c>
      <c r="AM407" s="20">
        <f t="shared" si="75"/>
        <v>541</v>
      </c>
      <c r="AN407" s="20">
        <f t="shared" si="76"/>
        <v>2326300000</v>
      </c>
      <c r="AO407" s="20"/>
    </row>
    <row r="408" spans="18:46">
      <c r="R408" s="97" t="s">
        <v>5326</v>
      </c>
      <c r="S408" s="93">
        <v>1558697</v>
      </c>
      <c r="U408" s="19" t="s">
        <v>5647</v>
      </c>
      <c r="V408" s="19">
        <v>6259</v>
      </c>
      <c r="W408" s="115">
        <v>2453.954988</v>
      </c>
      <c r="X408" s="115">
        <f t="shared" si="77"/>
        <v>15359304.269892</v>
      </c>
      <c r="Y408" s="259" t="s">
        <v>5096</v>
      </c>
      <c r="Z408" t="s">
        <v>25</v>
      </c>
      <c r="AI408" s="20">
        <v>113</v>
      </c>
      <c r="AJ408" s="20" t="s">
        <v>4994</v>
      </c>
      <c r="AK408" s="115">
        <v>1600000</v>
      </c>
      <c r="AL408" s="20">
        <v>0</v>
      </c>
      <c r="AM408" s="20">
        <f t="shared" si="75"/>
        <v>540</v>
      </c>
      <c r="AN408" s="20">
        <f t="shared" si="76"/>
        <v>864000000</v>
      </c>
      <c r="AO408" s="20"/>
    </row>
    <row r="409" spans="18:46">
      <c r="R409" s="97" t="s">
        <v>5327</v>
      </c>
      <c r="S409" s="93">
        <v>9042009</v>
      </c>
      <c r="U409" s="19" t="s">
        <v>5649</v>
      </c>
      <c r="V409" s="19">
        <v>1223</v>
      </c>
      <c r="W409" s="115">
        <v>2345.4686710000001</v>
      </c>
      <c r="X409" s="115">
        <f t="shared" si="77"/>
        <v>2868508.1846330003</v>
      </c>
      <c r="Y409" s="259" t="s">
        <v>5096</v>
      </c>
      <c r="AI409" s="20">
        <v>114</v>
      </c>
      <c r="AJ409" s="20" t="s">
        <v>4253</v>
      </c>
      <c r="AK409" s="115">
        <v>-10000000</v>
      </c>
      <c r="AL409" s="20">
        <v>1</v>
      </c>
      <c r="AM409" s="20">
        <f t="shared" si="75"/>
        <v>540</v>
      </c>
      <c r="AN409" s="20">
        <f t="shared" si="76"/>
        <v>-5400000000</v>
      </c>
      <c r="AO409" s="20" t="s">
        <v>5124</v>
      </c>
    </row>
    <row r="410" spans="18:46">
      <c r="R410" s="97" t="s">
        <v>5331</v>
      </c>
      <c r="S410" s="93">
        <v>94969</v>
      </c>
      <c r="U410" s="19" t="s">
        <v>5650</v>
      </c>
      <c r="V410" s="19">
        <v>7804</v>
      </c>
      <c r="W410" s="115">
        <v>2236.0831640000001</v>
      </c>
      <c r="X410" s="115">
        <f t="shared" si="77"/>
        <v>17450393.011856001</v>
      </c>
      <c r="Y410" s="259" t="s">
        <v>5096</v>
      </c>
      <c r="AI410" s="20">
        <v>115</v>
      </c>
      <c r="AJ410" s="20" t="s">
        <v>5123</v>
      </c>
      <c r="AK410" s="115">
        <v>571000</v>
      </c>
      <c r="AL410" s="20">
        <v>4</v>
      </c>
      <c r="AM410" s="20">
        <f t="shared" si="75"/>
        <v>539</v>
      </c>
      <c r="AN410" s="20">
        <f t="shared" si="76"/>
        <v>307769000</v>
      </c>
      <c r="AO410" s="20"/>
    </row>
    <row r="411" spans="18:46">
      <c r="R411" s="97" t="s">
        <v>5331</v>
      </c>
      <c r="S411" s="93">
        <v>40000000</v>
      </c>
      <c r="U411" s="19" t="s">
        <v>5651</v>
      </c>
      <c r="V411" s="19">
        <v>14589</v>
      </c>
      <c r="W411" s="115">
        <v>2151.5486500000002</v>
      </c>
      <c r="X411" s="115">
        <f t="shared" si="77"/>
        <v>31388943.254850004</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5332</v>
      </c>
      <c r="S412" s="93">
        <v>2806274</v>
      </c>
      <c r="U412" s="19" t="s">
        <v>5652</v>
      </c>
      <c r="V412" s="19">
        <v>14741</v>
      </c>
      <c r="W412" s="115">
        <v>2097.0148140000001</v>
      </c>
      <c r="X412" s="115">
        <f t="shared" si="77"/>
        <v>30912095.373174001</v>
      </c>
      <c r="Y412" s="259" t="s">
        <v>5096</v>
      </c>
      <c r="Z412" t="s">
        <v>25</v>
      </c>
      <c r="AI412" s="147">
        <v>117</v>
      </c>
      <c r="AJ412" s="147" t="s">
        <v>5131</v>
      </c>
      <c r="AK412" s="186">
        <v>50000</v>
      </c>
      <c r="AL412" s="147">
        <v>7</v>
      </c>
      <c r="AM412" s="147">
        <f t="shared" si="78"/>
        <v>532</v>
      </c>
      <c r="AN412" s="147">
        <f t="shared" si="79"/>
        <v>26600000</v>
      </c>
      <c r="AO412" s="147"/>
    </row>
    <row r="413" spans="18:46">
      <c r="R413" s="97" t="s">
        <v>5340</v>
      </c>
      <c r="S413" s="93">
        <v>1331702</v>
      </c>
      <c r="U413" s="19" t="s">
        <v>5654</v>
      </c>
      <c r="V413" s="19">
        <v>10237</v>
      </c>
      <c r="W413" s="115">
        <v>1914.9092619999999</v>
      </c>
      <c r="X413" s="115">
        <f t="shared" si="77"/>
        <v>19602926.115093999</v>
      </c>
      <c r="Y413" s="259" t="s">
        <v>5096</v>
      </c>
      <c r="AA413" t="s">
        <v>25</v>
      </c>
      <c r="AI413" s="20">
        <v>118</v>
      </c>
      <c r="AJ413" s="20" t="s">
        <v>5139</v>
      </c>
      <c r="AK413" s="115">
        <v>-500000</v>
      </c>
      <c r="AL413" s="20">
        <v>12</v>
      </c>
      <c r="AM413" s="20">
        <f t="shared" si="78"/>
        <v>525</v>
      </c>
      <c r="AN413" s="20">
        <f t="shared" si="79"/>
        <v>-262500000</v>
      </c>
      <c r="AO413" s="20"/>
      <c r="AS413" t="s">
        <v>25</v>
      </c>
    </row>
    <row r="414" spans="18:46">
      <c r="R414" s="97" t="s">
        <v>5374</v>
      </c>
      <c r="S414" s="93">
        <v>851238</v>
      </c>
      <c r="U414" s="19" t="s">
        <v>5658</v>
      </c>
      <c r="V414" s="19">
        <v>19211</v>
      </c>
      <c r="W414" s="115">
        <v>1793.6906100000001</v>
      </c>
      <c r="X414" s="115">
        <f t="shared" si="77"/>
        <v>34458590.308710001</v>
      </c>
      <c r="Y414" s="259" t="s">
        <v>5096</v>
      </c>
      <c r="AA414" t="s">
        <v>25</v>
      </c>
      <c r="AI414" s="147">
        <v>119</v>
      </c>
      <c r="AJ414" s="147" t="s">
        <v>974</v>
      </c>
      <c r="AK414" s="186">
        <v>-50000</v>
      </c>
      <c r="AL414" s="147">
        <v>0</v>
      </c>
      <c r="AM414" s="147">
        <f t="shared" si="78"/>
        <v>513</v>
      </c>
      <c r="AN414" s="147">
        <f t="shared" si="79"/>
        <v>-25650000</v>
      </c>
      <c r="AO414" s="147"/>
    </row>
    <row r="415" spans="18:46">
      <c r="R415" s="97" t="s">
        <v>5417</v>
      </c>
      <c r="S415" s="93">
        <v>652592</v>
      </c>
      <c r="U415" s="19" t="s">
        <v>5660</v>
      </c>
      <c r="V415" s="19">
        <v>11599</v>
      </c>
      <c r="W415" s="115">
        <v>1870.667144</v>
      </c>
      <c r="X415" s="115">
        <f t="shared" si="77"/>
        <v>21697868.203256</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5418</v>
      </c>
      <c r="S416" s="93">
        <v>554139</v>
      </c>
      <c r="U416" s="19" t="s">
        <v>5662</v>
      </c>
      <c r="V416" s="19">
        <v>14098</v>
      </c>
      <c r="W416" s="115">
        <v>1797.423695</v>
      </c>
      <c r="X416" s="115">
        <f t="shared" si="77"/>
        <v>25340079.252110001</v>
      </c>
      <c r="Y416" s="259" t="s">
        <v>5096</v>
      </c>
      <c r="AI416" s="20">
        <v>121</v>
      </c>
      <c r="AJ416" s="20" t="s">
        <v>5180</v>
      </c>
      <c r="AK416" s="115">
        <v>-3020625</v>
      </c>
      <c r="AL416" s="20">
        <v>18</v>
      </c>
      <c r="AM416" s="20">
        <f t="shared" si="78"/>
        <v>485</v>
      </c>
      <c r="AN416" s="20">
        <f t="shared" si="79"/>
        <v>-1465003125</v>
      </c>
      <c r="AO416" s="20"/>
    </row>
    <row r="417" spans="18:46">
      <c r="R417" s="97" t="s">
        <v>5419</v>
      </c>
      <c r="S417" s="93">
        <v>70373089</v>
      </c>
      <c r="U417" s="19" t="s">
        <v>5663</v>
      </c>
      <c r="V417" s="19">
        <v>8497</v>
      </c>
      <c r="W417" s="115">
        <v>1739.5531579999999</v>
      </c>
      <c r="X417" s="115">
        <f t="shared" si="77"/>
        <v>14780983.183526</v>
      </c>
      <c r="Y417" s="259" t="s">
        <v>5096</v>
      </c>
      <c r="AI417" s="20">
        <v>122</v>
      </c>
      <c r="AJ417" s="20" t="s">
        <v>5191</v>
      </c>
      <c r="AK417" s="115">
        <v>18000000</v>
      </c>
      <c r="AL417" s="20">
        <v>19</v>
      </c>
      <c r="AM417" s="20">
        <f t="shared" si="78"/>
        <v>467</v>
      </c>
      <c r="AN417" s="20">
        <f t="shared" si="79"/>
        <v>8406000000</v>
      </c>
      <c r="AO417" s="20"/>
      <c r="AS417" t="s">
        <v>25</v>
      </c>
      <c r="AT417" t="s">
        <v>25</v>
      </c>
    </row>
    <row r="418" spans="18:46" ht="30">
      <c r="R418" s="97" t="s">
        <v>5420</v>
      </c>
      <c r="S418" s="93">
        <v>1219655</v>
      </c>
      <c r="U418" s="277" t="s">
        <v>5666</v>
      </c>
      <c r="V418" s="277">
        <v>163820</v>
      </c>
      <c r="W418" s="88">
        <v>1588.685326</v>
      </c>
      <c r="X418" s="88">
        <f t="shared" si="77"/>
        <v>260258430.10532001</v>
      </c>
      <c r="Y418" s="287" t="s">
        <v>5668</v>
      </c>
      <c r="AI418" s="20">
        <v>123</v>
      </c>
      <c r="AJ418" s="20" t="s">
        <v>5218</v>
      </c>
      <c r="AK418" s="115">
        <v>2000000</v>
      </c>
      <c r="AL418" s="20">
        <v>6</v>
      </c>
      <c r="AM418" s="20">
        <f t="shared" si="78"/>
        <v>448</v>
      </c>
      <c r="AN418" s="20">
        <f t="shared" si="79"/>
        <v>896000000</v>
      </c>
      <c r="AO418" s="20"/>
    </row>
    <row r="419" spans="18:46">
      <c r="R419" s="97" t="s">
        <v>5421</v>
      </c>
      <c r="S419" s="93">
        <v>15350146</v>
      </c>
      <c r="U419" s="19" t="s">
        <v>5666</v>
      </c>
      <c r="V419" s="19">
        <v>11207</v>
      </c>
      <c r="W419" s="115">
        <v>1588.685326</v>
      </c>
      <c r="X419" s="115">
        <f t="shared" si="77"/>
        <v>17804396.448481999</v>
      </c>
      <c r="Y419" s="259" t="s">
        <v>5096</v>
      </c>
      <c r="Z419" t="s">
        <v>25</v>
      </c>
      <c r="AA419" t="s">
        <v>25</v>
      </c>
      <c r="AI419" s="147">
        <v>124</v>
      </c>
      <c r="AJ419" s="147" t="s">
        <v>5227</v>
      </c>
      <c r="AK419" s="186">
        <v>40000000</v>
      </c>
      <c r="AL419" s="147">
        <v>6</v>
      </c>
      <c r="AM419" s="147">
        <f t="shared" si="78"/>
        <v>442</v>
      </c>
      <c r="AN419" s="147">
        <f t="shared" si="79"/>
        <v>17680000000</v>
      </c>
      <c r="AO419" s="147"/>
    </row>
    <row r="420" spans="18:46">
      <c r="R420" s="97" t="s">
        <v>5425</v>
      </c>
      <c r="S420" s="93">
        <v>121018</v>
      </c>
      <c r="U420" s="19" t="s">
        <v>5669</v>
      </c>
      <c r="V420" s="19">
        <v>7198</v>
      </c>
      <c r="W420" s="115">
        <v>1602.9918909999999</v>
      </c>
      <c r="X420" s="115">
        <f t="shared" si="77"/>
        <v>11538335.631417999</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5437</v>
      </c>
      <c r="S421" s="93">
        <v>1024993</v>
      </c>
      <c r="T421" t="s">
        <v>25</v>
      </c>
      <c r="U421" s="19" t="s">
        <v>5670</v>
      </c>
      <c r="V421" s="19">
        <v>7804</v>
      </c>
      <c r="W421" s="115">
        <v>1592.7111440000001</v>
      </c>
      <c r="X421" s="115">
        <f t="shared" si="77"/>
        <v>12429517.767776001</v>
      </c>
      <c r="Y421" s="259" t="s">
        <v>5096</v>
      </c>
      <c r="AA421" t="s">
        <v>25</v>
      </c>
      <c r="AI421" s="147">
        <v>126</v>
      </c>
      <c r="AJ421" s="147" t="s">
        <v>5236</v>
      </c>
      <c r="AK421" s="186">
        <v>200000</v>
      </c>
      <c r="AL421" s="147">
        <v>1</v>
      </c>
      <c r="AM421" s="147">
        <f t="shared" si="78"/>
        <v>436</v>
      </c>
      <c r="AN421" s="147">
        <f t="shared" si="79"/>
        <v>87200000</v>
      </c>
      <c r="AO421" s="147"/>
    </row>
    <row r="422" spans="18:46">
      <c r="R422" s="97" t="s">
        <v>5438</v>
      </c>
      <c r="S422" s="93">
        <v>1948077</v>
      </c>
      <c r="U422" s="19" t="s">
        <v>5678</v>
      </c>
      <c r="V422" s="19">
        <v>2827</v>
      </c>
      <c r="W422" s="115">
        <v>1779.6874809999999</v>
      </c>
      <c r="X422" s="115">
        <f t="shared" si="77"/>
        <v>5031176.5087869996</v>
      </c>
      <c r="Y422" s="259" t="s">
        <v>5096</v>
      </c>
      <c r="Z422" t="s">
        <v>25</v>
      </c>
      <c r="AI422" s="20">
        <v>127</v>
      </c>
      <c r="AJ422" s="20" t="s">
        <v>5239</v>
      </c>
      <c r="AK422" s="115">
        <v>50000</v>
      </c>
      <c r="AL422" s="20">
        <v>4</v>
      </c>
      <c r="AM422" s="20">
        <f t="shared" si="78"/>
        <v>435</v>
      </c>
      <c r="AN422" s="20">
        <f t="shared" si="79"/>
        <v>21750000</v>
      </c>
      <c r="AO422" s="20"/>
    </row>
    <row r="423" spans="18:46">
      <c r="R423" s="97" t="s">
        <v>5439</v>
      </c>
      <c r="S423" s="93">
        <v>50000120</v>
      </c>
      <c r="U423" s="19" t="s">
        <v>5680</v>
      </c>
      <c r="V423" s="19">
        <v>3385</v>
      </c>
      <c r="W423" s="115">
        <v>2015.5993820000001</v>
      </c>
      <c r="X423" s="115">
        <f t="shared" si="77"/>
        <v>6822803.9080700008</v>
      </c>
      <c r="Y423" s="259" t="s">
        <v>5096</v>
      </c>
      <c r="Z423" t="s">
        <v>25</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5462</v>
      </c>
      <c r="S424" s="93">
        <v>20000055</v>
      </c>
      <c r="U424" s="19" t="s">
        <v>5684</v>
      </c>
      <c r="V424" s="19">
        <v>158</v>
      </c>
      <c r="W424" s="115">
        <v>2094.2388179999998</v>
      </c>
      <c r="X424" s="115">
        <f t="shared" si="77"/>
        <v>330889.73324399994</v>
      </c>
      <c r="Y424" s="259" t="s">
        <v>5096</v>
      </c>
      <c r="Z424" t="s">
        <v>25</v>
      </c>
      <c r="AI424" s="20">
        <v>129</v>
      </c>
      <c r="AJ424" s="20" t="s">
        <v>5257</v>
      </c>
      <c r="AK424" s="115">
        <v>-550000</v>
      </c>
      <c r="AL424" s="20">
        <v>5</v>
      </c>
      <c r="AM424" s="20">
        <f t="shared" si="80"/>
        <v>422</v>
      </c>
      <c r="AN424" s="20">
        <f t="shared" si="81"/>
        <v>-232100000</v>
      </c>
      <c r="AO424" s="20"/>
    </row>
    <row r="425" spans="18:46">
      <c r="R425" s="97" t="s">
        <v>5463</v>
      </c>
      <c r="S425" s="93">
        <v>5745697</v>
      </c>
      <c r="T425" t="s">
        <v>25</v>
      </c>
      <c r="U425" s="19" t="s">
        <v>963</v>
      </c>
      <c r="V425" s="19">
        <v>5033</v>
      </c>
      <c r="W425" s="115">
        <v>2229.4976999999999</v>
      </c>
      <c r="X425" s="115">
        <f t="shared" si="77"/>
        <v>11221061.924099999</v>
      </c>
      <c r="Y425" s="259" t="s">
        <v>5689</v>
      </c>
      <c r="AA425" t="s">
        <v>25</v>
      </c>
      <c r="AI425" s="20">
        <v>130</v>
      </c>
      <c r="AJ425" s="20" t="s">
        <v>5262</v>
      </c>
      <c r="AK425" s="115">
        <v>-29686490</v>
      </c>
      <c r="AL425" s="20">
        <v>1</v>
      </c>
      <c r="AM425" s="20">
        <f t="shared" si="80"/>
        <v>417</v>
      </c>
      <c r="AN425" s="20">
        <f t="shared" si="81"/>
        <v>-12379266330</v>
      </c>
      <c r="AO425" s="20"/>
    </row>
    <row r="426" spans="18:46">
      <c r="R426" s="97" t="s">
        <v>5464</v>
      </c>
      <c r="S426" s="93">
        <v>908158</v>
      </c>
      <c r="U426" s="19" t="s">
        <v>5693</v>
      </c>
      <c r="V426" s="19">
        <v>2870</v>
      </c>
      <c r="W426" s="115">
        <v>2303.2467459999998</v>
      </c>
      <c r="X426" s="115">
        <f t="shared" si="77"/>
        <v>6610318.1610199995</v>
      </c>
      <c r="Y426" s="259" t="s">
        <v>5096</v>
      </c>
      <c r="AI426" s="20">
        <v>131</v>
      </c>
      <c r="AJ426" s="20" t="s">
        <v>5270</v>
      </c>
      <c r="AK426" s="115">
        <v>-9000000</v>
      </c>
      <c r="AL426" s="20">
        <v>8</v>
      </c>
      <c r="AM426" s="20">
        <f t="shared" si="80"/>
        <v>416</v>
      </c>
      <c r="AN426" s="20">
        <f t="shared" si="81"/>
        <v>-3744000000</v>
      </c>
      <c r="AO426" s="20"/>
    </row>
    <row r="427" spans="18:46">
      <c r="R427" s="97" t="s">
        <v>5465</v>
      </c>
      <c r="S427" s="93">
        <v>12642697</v>
      </c>
      <c r="U427" s="19" t="s">
        <v>5694</v>
      </c>
      <c r="V427" s="19">
        <v>307</v>
      </c>
      <c r="W427" s="115">
        <v>2315.0266360000001</v>
      </c>
      <c r="X427" s="115">
        <f t="shared" si="77"/>
        <v>710713.17725199996</v>
      </c>
      <c r="Y427" s="259" t="s">
        <v>5096</v>
      </c>
      <c r="AI427" s="20">
        <v>132</v>
      </c>
      <c r="AJ427" s="20" t="s">
        <v>5313</v>
      </c>
      <c r="AK427" s="115">
        <v>810000</v>
      </c>
      <c r="AL427" s="20">
        <v>2</v>
      </c>
      <c r="AM427" s="20">
        <f t="shared" si="80"/>
        <v>408</v>
      </c>
      <c r="AN427" s="20">
        <f t="shared" si="81"/>
        <v>330480000</v>
      </c>
      <c r="AO427" s="20"/>
    </row>
    <row r="428" spans="18:46">
      <c r="R428" s="97" t="s">
        <v>5466</v>
      </c>
      <c r="S428" s="93">
        <v>12297317.81435</v>
      </c>
      <c r="U428" s="19" t="s">
        <v>5696</v>
      </c>
      <c r="V428" s="19">
        <v>35</v>
      </c>
      <c r="W428" s="115">
        <v>2315</v>
      </c>
      <c r="X428" s="115">
        <f t="shared" si="77"/>
        <v>81025</v>
      </c>
      <c r="Y428" s="259" t="s">
        <v>5698</v>
      </c>
      <c r="Z428" s="112"/>
      <c r="AI428" s="20">
        <v>133</v>
      </c>
      <c r="AJ428" s="20" t="s">
        <v>5318</v>
      </c>
      <c r="AK428" s="115">
        <v>-5000000</v>
      </c>
      <c r="AL428" s="20">
        <v>3</v>
      </c>
      <c r="AM428" s="20">
        <f t="shared" si="80"/>
        <v>406</v>
      </c>
      <c r="AN428" s="20">
        <f t="shared" si="81"/>
        <v>-2030000000</v>
      </c>
      <c r="AO428" s="20"/>
    </row>
    <row r="429" spans="18:46">
      <c r="R429" s="97" t="s">
        <v>5467</v>
      </c>
      <c r="S429" s="93">
        <v>8959643.8508579992</v>
      </c>
      <c r="U429" s="19" t="s">
        <v>5699</v>
      </c>
      <c r="V429" s="19">
        <v>94</v>
      </c>
      <c r="W429" s="115">
        <v>2337.1980119999998</v>
      </c>
      <c r="X429" s="115">
        <f t="shared" si="77"/>
        <v>219696.613128</v>
      </c>
      <c r="Y429" s="259" t="s">
        <v>5096</v>
      </c>
      <c r="Z429" t="s">
        <v>25</v>
      </c>
      <c r="AA429" t="s">
        <v>25</v>
      </c>
      <c r="AI429" s="20">
        <v>134</v>
      </c>
      <c r="AJ429" s="20" t="s">
        <v>5322</v>
      </c>
      <c r="AK429" s="115">
        <v>-26000000</v>
      </c>
      <c r="AL429" s="20">
        <v>0</v>
      </c>
      <c r="AM429" s="20">
        <f t="shared" si="80"/>
        <v>403</v>
      </c>
      <c r="AN429" s="20">
        <f t="shared" si="81"/>
        <v>-10478000000</v>
      </c>
      <c r="AO429" s="20"/>
    </row>
    <row r="430" spans="18:46">
      <c r="R430" s="97" t="s">
        <v>5482</v>
      </c>
      <c r="S430" s="93">
        <v>15154095.839328</v>
      </c>
      <c r="U430" s="19" t="s">
        <v>5700</v>
      </c>
      <c r="V430" s="19">
        <v>2534</v>
      </c>
      <c r="W430" s="115">
        <v>2381.7965300000001</v>
      </c>
      <c r="X430" s="115">
        <f t="shared" si="77"/>
        <v>6035472.4070199998</v>
      </c>
      <c r="Y430" s="259" t="s">
        <v>5096</v>
      </c>
      <c r="AI430" s="239">
        <v>135</v>
      </c>
      <c r="AJ430" s="239" t="s">
        <v>5322</v>
      </c>
      <c r="AK430" s="230">
        <v>-26000000</v>
      </c>
      <c r="AL430" s="239">
        <v>1</v>
      </c>
      <c r="AM430" s="239">
        <f t="shared" si="80"/>
        <v>403</v>
      </c>
      <c r="AN430" s="239">
        <f t="shared" si="81"/>
        <v>-10478000000</v>
      </c>
      <c r="AO430" s="239"/>
    </row>
    <row r="431" spans="18:46">
      <c r="R431" s="97" t="s">
        <v>5483</v>
      </c>
      <c r="S431" s="93">
        <v>50725508.571864001</v>
      </c>
      <c r="U431" s="19" t="s">
        <v>5701</v>
      </c>
      <c r="V431" s="19">
        <v>424</v>
      </c>
      <c r="W431" s="115">
        <v>2321.9017680000002</v>
      </c>
      <c r="X431" s="115">
        <f t="shared" si="77"/>
        <v>984486.34963200008</v>
      </c>
      <c r="Y431" s="259" t="s">
        <v>5096</v>
      </c>
      <c r="AA431" t="s">
        <v>25</v>
      </c>
      <c r="AI431" s="20">
        <v>136</v>
      </c>
      <c r="AJ431" s="20" t="s">
        <v>5326</v>
      </c>
      <c r="AK431" s="115">
        <v>-81800000</v>
      </c>
      <c r="AL431" s="20">
        <v>0</v>
      </c>
      <c r="AM431" s="20">
        <f t="shared" si="80"/>
        <v>402</v>
      </c>
      <c r="AN431" s="20">
        <f t="shared" si="81"/>
        <v>-32883600000</v>
      </c>
      <c r="AO431" s="20"/>
    </row>
    <row r="432" spans="18:46">
      <c r="R432" s="97" t="s">
        <v>5490</v>
      </c>
      <c r="S432" s="93">
        <v>2281961.458596</v>
      </c>
      <c r="U432" s="187" t="s">
        <v>5702</v>
      </c>
      <c r="V432" s="187">
        <v>-32</v>
      </c>
      <c r="W432" s="186">
        <v>2221.2123710000001</v>
      </c>
      <c r="X432" s="186">
        <f t="shared" si="77"/>
        <v>-71078.795872000002</v>
      </c>
      <c r="Y432" s="258" t="s">
        <v>5705</v>
      </c>
      <c r="AI432" s="239">
        <v>137</v>
      </c>
      <c r="AJ432" s="239" t="s">
        <v>5326</v>
      </c>
      <c r="AK432" s="230">
        <v>-110000000</v>
      </c>
      <c r="AL432" s="239">
        <v>1</v>
      </c>
      <c r="AM432" s="239">
        <f t="shared" si="80"/>
        <v>402</v>
      </c>
      <c r="AN432" s="239">
        <f t="shared" si="81"/>
        <v>-44220000000</v>
      </c>
      <c r="AO432" s="239"/>
    </row>
    <row r="433" spans="18:46">
      <c r="R433" s="97" t="s">
        <v>5491</v>
      </c>
      <c r="S433" s="93">
        <v>10998285</v>
      </c>
      <c r="U433" s="19" t="s">
        <v>5702</v>
      </c>
      <c r="V433" s="19">
        <v>157</v>
      </c>
      <c r="W433" s="115">
        <v>2221.2123710000001</v>
      </c>
      <c r="X433" s="115">
        <f t="shared" si="77"/>
        <v>348730.34224700002</v>
      </c>
      <c r="Y433" s="259" t="s">
        <v>5706</v>
      </c>
      <c r="AI433" s="20">
        <v>138</v>
      </c>
      <c r="AJ433" s="20" t="s">
        <v>5327</v>
      </c>
      <c r="AK433" s="115">
        <v>-34000000</v>
      </c>
      <c r="AL433" s="20">
        <v>0</v>
      </c>
      <c r="AM433" s="20">
        <f t="shared" si="80"/>
        <v>401</v>
      </c>
      <c r="AN433" s="20">
        <f t="shared" si="81"/>
        <v>-13634000000</v>
      </c>
      <c r="AO433" s="20"/>
    </row>
    <row r="434" spans="18:46">
      <c r="R434" s="97" t="s">
        <v>5493</v>
      </c>
      <c r="S434" s="93">
        <v>983018.96187300002</v>
      </c>
      <c r="T434" t="s">
        <v>25</v>
      </c>
      <c r="U434" s="19" t="s">
        <v>5702</v>
      </c>
      <c r="V434" s="19">
        <v>965</v>
      </c>
      <c r="W434" s="115">
        <v>2221.2123710000001</v>
      </c>
      <c r="X434" s="115">
        <f t="shared" si="77"/>
        <v>2143469.938015</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5496</v>
      </c>
      <c r="S435" s="93">
        <v>17049271.032000002</v>
      </c>
      <c r="U435" s="187" t="s">
        <v>5708</v>
      </c>
      <c r="V435" s="187">
        <v>596</v>
      </c>
      <c r="W435" s="186">
        <v>2180.6765719999999</v>
      </c>
      <c r="X435" s="186">
        <f t="shared" si="77"/>
        <v>1299683.236912</v>
      </c>
      <c r="Y435" s="258" t="s">
        <v>1069</v>
      </c>
      <c r="Z435" t="s">
        <v>25</v>
      </c>
      <c r="AI435" s="20">
        <v>140</v>
      </c>
      <c r="AJ435" s="20" t="s">
        <v>5340</v>
      </c>
      <c r="AK435" s="115">
        <v>1000000</v>
      </c>
      <c r="AL435" s="20">
        <v>0</v>
      </c>
      <c r="AM435" s="20">
        <f t="shared" si="82"/>
        <v>396</v>
      </c>
      <c r="AN435" s="20">
        <f t="shared" si="83"/>
        <v>396000000</v>
      </c>
      <c r="AO435" s="20"/>
      <c r="AR435" t="s">
        <v>25</v>
      </c>
    </row>
    <row r="436" spans="18:46">
      <c r="R436" s="97" t="s">
        <v>4209</v>
      </c>
      <c r="S436" s="93">
        <v>6829998</v>
      </c>
      <c r="U436" s="19" t="s">
        <v>5712</v>
      </c>
      <c r="V436" s="19">
        <v>1355</v>
      </c>
      <c r="W436" s="115">
        <v>2277.0926330000002</v>
      </c>
      <c r="X436" s="115">
        <f t="shared" si="77"/>
        <v>3085460.5177150001</v>
      </c>
      <c r="Y436" s="259" t="s">
        <v>5096</v>
      </c>
      <c r="AI436" s="147">
        <v>141</v>
      </c>
      <c r="AJ436" s="147" t="s">
        <v>5340</v>
      </c>
      <c r="AK436" s="186">
        <v>1000000</v>
      </c>
      <c r="AL436" s="147">
        <v>4</v>
      </c>
      <c r="AM436" s="147">
        <f t="shared" si="82"/>
        <v>396</v>
      </c>
      <c r="AN436" s="147">
        <f t="shared" si="83"/>
        <v>396000000</v>
      </c>
      <c r="AO436" s="147"/>
    </row>
    <row r="437" spans="18:46">
      <c r="R437" s="97" t="s">
        <v>5516</v>
      </c>
      <c r="S437" s="93">
        <v>6982608.8207999999</v>
      </c>
      <c r="U437" s="19" t="s">
        <v>5713</v>
      </c>
      <c r="V437" s="19">
        <v>3742</v>
      </c>
      <c r="W437" s="115">
        <v>2207.7650429999999</v>
      </c>
      <c r="X437" s="115">
        <f t="shared" si="77"/>
        <v>8261456.790906</v>
      </c>
      <c r="Y437" s="259" t="s">
        <v>5096</v>
      </c>
      <c r="Z437" t="s">
        <v>25</v>
      </c>
      <c r="AI437" s="20">
        <v>142</v>
      </c>
      <c r="AJ437" s="20" t="s">
        <v>5346</v>
      </c>
      <c r="AK437" s="115">
        <v>400000</v>
      </c>
      <c r="AL437" s="20">
        <v>0</v>
      </c>
      <c r="AM437" s="20">
        <f t="shared" si="82"/>
        <v>392</v>
      </c>
      <c r="AN437" s="20">
        <f t="shared" si="83"/>
        <v>156800000</v>
      </c>
      <c r="AO437" s="20"/>
    </row>
    <row r="438" spans="18:46">
      <c r="R438" s="97" t="s">
        <v>5522</v>
      </c>
      <c r="S438" s="93">
        <v>7510131.0216000006</v>
      </c>
      <c r="U438" s="19" t="s">
        <v>5714</v>
      </c>
      <c r="V438" s="19">
        <v>3216</v>
      </c>
      <c r="W438" s="115">
        <v>2043.648557</v>
      </c>
      <c r="X438" s="115">
        <f t="shared" si="77"/>
        <v>6572373.7593120001</v>
      </c>
      <c r="Y438" s="259" t="s">
        <v>5096</v>
      </c>
      <c r="AI438" s="147">
        <v>143</v>
      </c>
      <c r="AJ438" s="147" t="s">
        <v>5346</v>
      </c>
      <c r="AK438" s="186">
        <v>400000</v>
      </c>
      <c r="AL438" s="147">
        <v>35</v>
      </c>
      <c r="AM438" s="147">
        <f t="shared" si="82"/>
        <v>392</v>
      </c>
      <c r="AN438" s="147">
        <f t="shared" si="83"/>
        <v>156800000</v>
      </c>
      <c r="AO438" s="147"/>
    </row>
    <row r="439" spans="18:46">
      <c r="R439" s="97" t="s">
        <v>5531</v>
      </c>
      <c r="S439" s="93">
        <v>7278025.5327000003</v>
      </c>
      <c r="T439" t="s">
        <v>25</v>
      </c>
      <c r="U439" s="187" t="s">
        <v>5716</v>
      </c>
      <c r="V439" s="187">
        <v>42393</v>
      </c>
      <c r="W439" s="186">
        <v>2124.4852740000001</v>
      </c>
      <c r="X439" s="186">
        <f t="shared" si="77"/>
        <v>90063304.22068201</v>
      </c>
      <c r="Y439" s="258" t="s">
        <v>5717</v>
      </c>
      <c r="Z439" t="s">
        <v>25</v>
      </c>
      <c r="AI439" s="20">
        <v>144</v>
      </c>
      <c r="AJ439" s="20" t="s">
        <v>5380</v>
      </c>
      <c r="AK439" s="115">
        <v>3000000</v>
      </c>
      <c r="AL439" s="20">
        <v>0</v>
      </c>
      <c r="AM439" s="20">
        <f t="shared" si="82"/>
        <v>357</v>
      </c>
      <c r="AN439" s="20">
        <f t="shared" si="83"/>
        <v>1071000000</v>
      </c>
      <c r="AO439" s="20"/>
      <c r="AT439" t="s">
        <v>25</v>
      </c>
    </row>
    <row r="440" spans="18:46">
      <c r="R440" s="97" t="s">
        <v>5536</v>
      </c>
      <c r="S440" s="93">
        <v>195059.35799999998</v>
      </c>
      <c r="U440" s="19" t="s">
        <v>5718</v>
      </c>
      <c r="V440" s="19">
        <v>1307</v>
      </c>
      <c r="W440" s="115">
        <v>2213.652313</v>
      </c>
      <c r="X440" s="115">
        <f t="shared" si="77"/>
        <v>2893243.5730909999</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5538</v>
      </c>
      <c r="S441" s="93">
        <v>862577.83200000005</v>
      </c>
      <c r="U441" s="19" t="s">
        <v>5719</v>
      </c>
      <c r="V441" s="19">
        <v>44079</v>
      </c>
      <c r="W441" s="115">
        <v>2155.0411519999998</v>
      </c>
      <c r="X441" s="115">
        <f t="shared" si="77"/>
        <v>94992058.939007998</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5539</v>
      </c>
      <c r="S442" s="93">
        <v>920308.446</v>
      </c>
      <c r="U442" s="19" t="s">
        <v>5724</v>
      </c>
      <c r="V442" s="19">
        <v>131</v>
      </c>
      <c r="W442" s="115">
        <v>2099.4040150000001</v>
      </c>
      <c r="X442" s="115">
        <f t="shared" si="77"/>
        <v>275021.925965</v>
      </c>
      <c r="Y442" s="259" t="s">
        <v>5096</v>
      </c>
      <c r="Z442" t="s">
        <v>25</v>
      </c>
      <c r="AI442" s="20">
        <v>147</v>
      </c>
      <c r="AJ442" s="20" t="s">
        <v>5279</v>
      </c>
      <c r="AK442" s="115">
        <v>-65461942</v>
      </c>
      <c r="AL442" s="20">
        <v>1</v>
      </c>
      <c r="AM442" s="20">
        <f t="shared" si="84"/>
        <v>338</v>
      </c>
      <c r="AN442" s="20">
        <f t="shared" si="85"/>
        <v>-22126136396</v>
      </c>
      <c r="AO442" s="20" t="s">
        <v>4726</v>
      </c>
    </row>
    <row r="443" spans="18:46">
      <c r="R443" s="97" t="s">
        <v>5541</v>
      </c>
      <c r="S443" s="93">
        <v>4635809.8416840006</v>
      </c>
      <c r="U443" s="19" t="s">
        <v>5729</v>
      </c>
      <c r="V443" s="19">
        <v>162</v>
      </c>
      <c r="W443" s="115">
        <v>2021.3081500000001</v>
      </c>
      <c r="X443" s="115">
        <f t="shared" si="77"/>
        <v>327451.9203</v>
      </c>
      <c r="Y443" s="259" t="s">
        <v>5096</v>
      </c>
      <c r="AA443" t="s">
        <v>25</v>
      </c>
      <c r="AI443" s="20">
        <v>148</v>
      </c>
      <c r="AJ443" s="20" t="s">
        <v>5402</v>
      </c>
      <c r="AK443" s="115">
        <v>35000000</v>
      </c>
      <c r="AL443" s="20">
        <v>15</v>
      </c>
      <c r="AM443" s="20">
        <f t="shared" si="84"/>
        <v>337</v>
      </c>
      <c r="AN443" s="20">
        <f t="shared" si="85"/>
        <v>11795000000</v>
      </c>
      <c r="AO443" s="20"/>
    </row>
    <row r="444" spans="18:46">
      <c r="R444" s="97" t="s">
        <v>5569</v>
      </c>
      <c r="S444" s="93">
        <v>288892.40000000002</v>
      </c>
      <c r="U444" s="19" t="s">
        <v>5739</v>
      </c>
      <c r="V444" s="19">
        <v>131</v>
      </c>
      <c r="W444" s="115">
        <v>1985.358328</v>
      </c>
      <c r="X444" s="115">
        <f t="shared" si="77"/>
        <v>260081.94096800001</v>
      </c>
      <c r="Y444" s="259" t="s">
        <v>5096</v>
      </c>
      <c r="AA444" t="s">
        <v>25</v>
      </c>
      <c r="AI444" s="147">
        <v>149</v>
      </c>
      <c r="AJ444" s="147" t="s">
        <v>5421</v>
      </c>
      <c r="AK444" s="186">
        <v>1400000</v>
      </c>
      <c r="AL444" s="147">
        <v>0</v>
      </c>
      <c r="AM444" s="147">
        <f t="shared" si="84"/>
        <v>322</v>
      </c>
      <c r="AN444" s="147">
        <f t="shared" si="85"/>
        <v>450800000</v>
      </c>
      <c r="AO444" s="147"/>
      <c r="AS444" t="s">
        <v>25</v>
      </c>
    </row>
    <row r="445" spans="18:46">
      <c r="R445" s="97" t="s">
        <v>5570</v>
      </c>
      <c r="S445" s="93">
        <v>58508002.009000003</v>
      </c>
      <c r="U445" s="19" t="s">
        <v>5747</v>
      </c>
      <c r="V445" s="19">
        <v>1449</v>
      </c>
      <c r="W445" s="115">
        <v>2007.787806</v>
      </c>
      <c r="X445" s="115">
        <f t="shared" si="77"/>
        <v>2909284.5308940001</v>
      </c>
      <c r="Y445" s="259" t="s">
        <v>5096</v>
      </c>
      <c r="AA445" t="s">
        <v>25</v>
      </c>
      <c r="AI445" s="20">
        <v>150</v>
      </c>
      <c r="AJ445" s="20" t="s">
        <v>5421</v>
      </c>
      <c r="AK445" s="115">
        <v>1600000</v>
      </c>
      <c r="AL445" s="20">
        <v>1</v>
      </c>
      <c r="AM445" s="20">
        <f t="shared" si="84"/>
        <v>322</v>
      </c>
      <c r="AN445" s="20">
        <f t="shared" si="85"/>
        <v>515200000</v>
      </c>
      <c r="AO445" s="20"/>
    </row>
    <row r="446" spans="18:46">
      <c r="R446" s="97" t="s">
        <v>5572</v>
      </c>
      <c r="S446" s="93">
        <v>2245515.5410799999</v>
      </c>
      <c r="U446" s="19" t="s">
        <v>5748</v>
      </c>
      <c r="V446" s="19">
        <v>19028</v>
      </c>
      <c r="W446" s="115">
        <v>1982.5102529999999</v>
      </c>
      <c r="X446" s="115">
        <f t="shared" si="77"/>
        <v>37723205.094084002</v>
      </c>
      <c r="Y446" s="259" t="s">
        <v>5096</v>
      </c>
      <c r="Z446" t="s">
        <v>25</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5572</v>
      </c>
      <c r="S447" s="93">
        <v>18404699.3442</v>
      </c>
      <c r="U447" s="19" t="s">
        <v>5749</v>
      </c>
      <c r="V447" s="19">
        <v>848</v>
      </c>
      <c r="W447" s="115">
        <v>1768.97966</v>
      </c>
      <c r="X447" s="115">
        <f t="shared" si="77"/>
        <v>1500094.75168</v>
      </c>
      <c r="Y447" s="259" t="s">
        <v>5096</v>
      </c>
      <c r="AI447" s="20">
        <v>152</v>
      </c>
      <c r="AJ447" s="20" t="s">
        <v>5424</v>
      </c>
      <c r="AK447" s="115">
        <v>600000</v>
      </c>
      <c r="AL447" s="20">
        <v>9</v>
      </c>
      <c r="AM447" s="20">
        <f t="shared" si="84"/>
        <v>321</v>
      </c>
      <c r="AN447" s="20">
        <f t="shared" si="85"/>
        <v>192600000</v>
      </c>
      <c r="AO447" s="20" t="s">
        <v>5426</v>
      </c>
    </row>
    <row r="448" spans="18:46">
      <c r="R448" s="97" t="s">
        <v>5575</v>
      </c>
      <c r="S448" s="93">
        <v>48684800</v>
      </c>
      <c r="U448" s="19" t="s">
        <v>5750</v>
      </c>
      <c r="V448" s="19">
        <v>3824</v>
      </c>
      <c r="W448" s="115">
        <v>1890.8547169999999</v>
      </c>
      <c r="X448" s="115">
        <f t="shared" si="77"/>
        <v>7230628.4378079996</v>
      </c>
      <c r="Y448" s="259" t="s">
        <v>5096</v>
      </c>
      <c r="AI448" s="20">
        <v>153</v>
      </c>
      <c r="AJ448" s="20" t="s">
        <v>5439</v>
      </c>
      <c r="AK448" s="115">
        <v>20000000</v>
      </c>
      <c r="AL448" s="20">
        <v>23</v>
      </c>
      <c r="AM448" s="20">
        <f t="shared" si="84"/>
        <v>312</v>
      </c>
      <c r="AN448" s="20">
        <f t="shared" si="85"/>
        <v>6240000000</v>
      </c>
      <c r="AO448" s="20" t="s">
        <v>5454</v>
      </c>
    </row>
    <row r="449" spans="18:45">
      <c r="R449" s="97" t="s">
        <v>5577</v>
      </c>
      <c r="S449" s="93">
        <v>2264658.5922190002</v>
      </c>
      <c r="U449" s="19" t="s">
        <v>5752</v>
      </c>
      <c r="V449" s="19">
        <v>14010</v>
      </c>
      <c r="W449" s="115">
        <v>2124.7244390000001</v>
      </c>
      <c r="X449" s="115">
        <f t="shared" si="77"/>
        <v>29767389.390390001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5580</v>
      </c>
      <c r="S450" s="93">
        <v>22877413.789960001</v>
      </c>
      <c r="U450" s="19" t="s">
        <v>5753</v>
      </c>
      <c r="V450" s="19">
        <v>73</v>
      </c>
      <c r="W450" s="115">
        <v>2076.1678900000002</v>
      </c>
      <c r="X450" s="115">
        <f t="shared" si="77"/>
        <v>151560.25597</v>
      </c>
      <c r="Y450" s="259" t="s">
        <v>5096</v>
      </c>
      <c r="AB450" t="s">
        <v>25</v>
      </c>
      <c r="AI450" s="147">
        <v>155</v>
      </c>
      <c r="AJ450" s="147" t="s">
        <v>5474</v>
      </c>
      <c r="AK450" s="186">
        <v>-1812800</v>
      </c>
      <c r="AL450" s="147">
        <v>2</v>
      </c>
      <c r="AM450" s="147">
        <f t="shared" si="84"/>
        <v>289</v>
      </c>
      <c r="AN450" s="147">
        <f t="shared" si="85"/>
        <v>-523899200</v>
      </c>
      <c r="AO450" s="147" t="s">
        <v>4847</v>
      </c>
    </row>
    <row r="451" spans="18:45">
      <c r="R451" s="97" t="s">
        <v>5581</v>
      </c>
      <c r="S451" s="93">
        <v>2362539.4373280001</v>
      </c>
      <c r="U451" s="19" t="s">
        <v>5755</v>
      </c>
      <c r="V451" s="19">
        <v>236</v>
      </c>
      <c r="W451" s="115">
        <v>2039.4867830000001</v>
      </c>
      <c r="X451" s="115">
        <f t="shared" si="77"/>
        <v>481318.88078800001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5582</v>
      </c>
      <c r="S452" s="93">
        <v>16042676.656608</v>
      </c>
      <c r="U452" s="19" t="s">
        <v>5758</v>
      </c>
      <c r="V452" s="19">
        <v>75</v>
      </c>
      <c r="W452" s="115">
        <v>1950.3675760000001</v>
      </c>
      <c r="X452" s="115">
        <f t="shared" si="77"/>
        <v>146277.56820000001</v>
      </c>
      <c r="Y452" s="259" t="s">
        <v>5096</v>
      </c>
      <c r="AI452" s="147">
        <v>157</v>
      </c>
      <c r="AJ452" s="147" t="s">
        <v>5478</v>
      </c>
      <c r="AK452" s="186">
        <v>60000</v>
      </c>
      <c r="AL452" s="147">
        <v>5</v>
      </c>
      <c r="AM452" s="147">
        <f t="shared" si="86"/>
        <v>287</v>
      </c>
      <c r="AN452" s="147">
        <f t="shared" si="87"/>
        <v>17220000</v>
      </c>
      <c r="AO452" s="147"/>
    </row>
    <row r="453" spans="18:45">
      <c r="R453" s="97" t="s">
        <v>5585</v>
      </c>
      <c r="S453" s="93">
        <v>18403291.448284</v>
      </c>
      <c r="U453" s="19" t="s">
        <v>5770</v>
      </c>
      <c r="V453" s="19">
        <v>232</v>
      </c>
      <c r="W453" s="115">
        <v>1830.5750069999999</v>
      </c>
      <c r="X453" s="115">
        <f t="shared" si="77"/>
        <v>424693.40162399999</v>
      </c>
      <c r="Y453" s="259" t="s">
        <v>5096</v>
      </c>
      <c r="Z453" t="s">
        <v>25</v>
      </c>
      <c r="AI453" s="20">
        <v>158</v>
      </c>
      <c r="AJ453" s="20" t="s">
        <v>5483</v>
      </c>
      <c r="AK453" s="115">
        <v>50000000</v>
      </c>
      <c r="AL453" s="20">
        <v>29</v>
      </c>
      <c r="AM453" s="20">
        <f t="shared" si="86"/>
        <v>282</v>
      </c>
      <c r="AN453" s="20">
        <f t="shared" si="87"/>
        <v>14100000000</v>
      </c>
      <c r="AO453" s="20" t="s">
        <v>5485</v>
      </c>
    </row>
    <row r="454" spans="18:45">
      <c r="R454" s="97" t="s">
        <v>5586</v>
      </c>
      <c r="S454" s="93">
        <v>10561447.246918</v>
      </c>
      <c r="U454" s="19" t="s">
        <v>5773</v>
      </c>
      <c r="V454" s="19">
        <v>308</v>
      </c>
      <c r="W454" s="115">
        <v>1812.728578</v>
      </c>
      <c r="X454" s="115">
        <f t="shared" si="77"/>
        <v>558320.40202399995</v>
      </c>
      <c r="Y454" s="259" t="s">
        <v>5096</v>
      </c>
      <c r="Z454" t="s">
        <v>25</v>
      </c>
      <c r="AI454" s="20">
        <v>159</v>
      </c>
      <c r="AJ454" s="20" t="s">
        <v>5541</v>
      </c>
      <c r="AK454" s="115">
        <v>100000</v>
      </c>
      <c r="AL454" s="20">
        <v>1</v>
      </c>
      <c r="AM454" s="20">
        <f t="shared" si="86"/>
        <v>253</v>
      </c>
      <c r="AN454" s="20">
        <f t="shared" si="87"/>
        <v>25300000</v>
      </c>
      <c r="AO454" s="20"/>
    </row>
    <row r="455" spans="18:45">
      <c r="R455" s="97" t="s">
        <v>5587</v>
      </c>
      <c r="S455" s="93">
        <v>1226811.9176660001</v>
      </c>
      <c r="U455" s="19" t="s">
        <v>5775</v>
      </c>
      <c r="V455" s="19">
        <v>106</v>
      </c>
      <c r="W455" s="115">
        <v>1958.8888869</v>
      </c>
      <c r="X455" s="115">
        <f t="shared" si="77"/>
        <v>207642.22201140001</v>
      </c>
      <c r="Y455" s="259" t="s">
        <v>5096</v>
      </c>
      <c r="AI455" s="147">
        <v>160</v>
      </c>
      <c r="AJ455" s="147" t="s">
        <v>5530</v>
      </c>
      <c r="AK455" s="186">
        <v>150000</v>
      </c>
      <c r="AL455" s="147">
        <v>0</v>
      </c>
      <c r="AM455" s="147">
        <f t="shared" si="86"/>
        <v>252</v>
      </c>
      <c r="AN455" s="147">
        <f t="shared" si="87"/>
        <v>37800000</v>
      </c>
      <c r="AO455" s="147"/>
    </row>
    <row r="456" spans="18:45">
      <c r="R456" s="97" t="s">
        <v>5592</v>
      </c>
      <c r="S456" s="93">
        <v>39373959.190266006</v>
      </c>
      <c r="U456" s="19" t="s">
        <v>5797</v>
      </c>
      <c r="V456" s="19">
        <v>17050</v>
      </c>
      <c r="W456" s="115">
        <v>1984.311475</v>
      </c>
      <c r="X456" s="115">
        <f t="shared" si="77"/>
        <v>33832510.64875</v>
      </c>
      <c r="Y456" s="259" t="s">
        <v>5799</v>
      </c>
      <c r="Z456" t="s">
        <v>25</v>
      </c>
      <c r="AB456" t="s">
        <v>25</v>
      </c>
      <c r="AI456" s="20">
        <v>161</v>
      </c>
      <c r="AJ456" s="20" t="s">
        <v>5530</v>
      </c>
      <c r="AK456" s="115">
        <v>-683050</v>
      </c>
      <c r="AL456" s="20">
        <v>7</v>
      </c>
      <c r="AM456" s="20">
        <f t="shared" si="86"/>
        <v>252</v>
      </c>
      <c r="AN456" s="20">
        <f t="shared" si="87"/>
        <v>-172128600</v>
      </c>
      <c r="AO456" s="20" t="s">
        <v>5544</v>
      </c>
    </row>
    <row r="457" spans="18:45">
      <c r="R457" s="97" t="s">
        <v>5593</v>
      </c>
      <c r="S457" s="93">
        <v>27703487.063980002</v>
      </c>
      <c r="U457" s="19" t="s">
        <v>5797</v>
      </c>
      <c r="V457" s="19">
        <v>17050</v>
      </c>
      <c r="W457" s="115">
        <v>1984.311475</v>
      </c>
      <c r="X457" s="115">
        <f t="shared" si="77"/>
        <v>33832510.64875</v>
      </c>
      <c r="Y457" s="259" t="s">
        <v>5800</v>
      </c>
      <c r="Z457" t="s">
        <v>25</v>
      </c>
      <c r="AI457" s="147">
        <v>162</v>
      </c>
      <c r="AJ457" s="147" t="s">
        <v>5552</v>
      </c>
      <c r="AK457" s="186">
        <v>200000</v>
      </c>
      <c r="AL457" s="147">
        <v>7</v>
      </c>
      <c r="AM457" s="147">
        <f t="shared" si="86"/>
        <v>245</v>
      </c>
      <c r="AN457" s="147">
        <f t="shared" si="87"/>
        <v>49000000</v>
      </c>
      <c r="AO457" s="147"/>
    </row>
    <row r="458" spans="18:45">
      <c r="R458" s="97" t="s">
        <v>4182</v>
      </c>
      <c r="S458" s="93">
        <v>8738896.6890719999</v>
      </c>
      <c r="U458" s="19" t="s">
        <v>5802</v>
      </c>
      <c r="V458" s="19">
        <v>9659</v>
      </c>
      <c r="W458" s="115">
        <v>2073.8685089999999</v>
      </c>
      <c r="X458" s="115">
        <f t="shared" si="77"/>
        <v>20031495.928431001</v>
      </c>
      <c r="Y458" s="259" t="s">
        <v>5803</v>
      </c>
      <c r="Z458" t="s">
        <v>25</v>
      </c>
      <c r="AI458" s="147">
        <v>163</v>
      </c>
      <c r="AJ458" s="147" t="s">
        <v>5557</v>
      </c>
      <c r="AK458" s="186">
        <v>150000</v>
      </c>
      <c r="AL458" s="147">
        <v>5</v>
      </c>
      <c r="AM458" s="147">
        <f t="shared" si="86"/>
        <v>238</v>
      </c>
      <c r="AN458" s="147">
        <f t="shared" si="87"/>
        <v>35700000</v>
      </c>
      <c r="AO458" s="147"/>
    </row>
    <row r="459" spans="18:45">
      <c r="R459" s="97" t="s">
        <v>5595</v>
      </c>
      <c r="S459" s="93">
        <v>348201.66738</v>
      </c>
      <c r="U459" s="19" t="s">
        <v>5806</v>
      </c>
      <c r="V459" s="19">
        <v>323</v>
      </c>
      <c r="W459" s="115">
        <v>1975.162028</v>
      </c>
      <c r="X459" s="115">
        <f t="shared" si="77"/>
        <v>637977.33504399995</v>
      </c>
      <c r="Y459" s="259" t="s">
        <v>5096</v>
      </c>
      <c r="AI459" s="20">
        <v>164</v>
      </c>
      <c r="AJ459" s="20" t="s">
        <v>5560</v>
      </c>
      <c r="AK459" s="115">
        <v>320000</v>
      </c>
      <c r="AL459" s="20">
        <v>2</v>
      </c>
      <c r="AM459" s="20">
        <f t="shared" si="86"/>
        <v>233</v>
      </c>
      <c r="AN459" s="20">
        <f t="shared" si="87"/>
        <v>74560000</v>
      </c>
      <c r="AO459" s="20"/>
    </row>
    <row r="460" spans="18:45">
      <c r="R460" s="97" t="s">
        <v>5599</v>
      </c>
      <c r="S460" s="93">
        <v>4158090.8935679998</v>
      </c>
      <c r="U460" s="19" t="s">
        <v>5807</v>
      </c>
      <c r="V460" s="19">
        <v>238</v>
      </c>
      <c r="W460" s="115">
        <v>1960.303598</v>
      </c>
      <c r="X460" s="115">
        <f t="shared" si="77"/>
        <v>466552.25632400002</v>
      </c>
      <c r="Y460" s="259" t="s">
        <v>5096</v>
      </c>
      <c r="AA460" t="s">
        <v>25</v>
      </c>
      <c r="AI460" s="20">
        <v>165</v>
      </c>
      <c r="AJ460" s="20" t="s">
        <v>5561</v>
      </c>
      <c r="AK460" s="115">
        <v>200000</v>
      </c>
      <c r="AL460" s="20">
        <v>29</v>
      </c>
      <c r="AM460" s="20">
        <f t="shared" si="86"/>
        <v>231</v>
      </c>
      <c r="AN460" s="20">
        <f t="shared" si="87"/>
        <v>46200000</v>
      </c>
      <c r="AO460" s="20"/>
    </row>
    <row r="461" spans="18:45">
      <c r="R461" s="97" t="s">
        <v>5596</v>
      </c>
      <c r="S461" s="93">
        <v>110770524.97879399</v>
      </c>
      <c r="U461" s="19" t="s">
        <v>5808</v>
      </c>
      <c r="V461" s="19">
        <v>75</v>
      </c>
      <c r="W461" s="115">
        <v>1990.893174</v>
      </c>
      <c r="X461" s="115">
        <f t="shared" si="77"/>
        <v>149316.98805000001</v>
      </c>
      <c r="Y461" s="259" t="s">
        <v>5809</v>
      </c>
      <c r="AA461" t="s">
        <v>25</v>
      </c>
      <c r="AI461" s="20">
        <v>166</v>
      </c>
      <c r="AJ461" s="20" t="s">
        <v>5596</v>
      </c>
      <c r="AK461" s="115">
        <v>4200000</v>
      </c>
      <c r="AL461" s="20">
        <v>0</v>
      </c>
      <c r="AM461" s="20">
        <f t="shared" si="86"/>
        <v>202</v>
      </c>
      <c r="AN461" s="20">
        <f t="shared" si="87"/>
        <v>848400000</v>
      </c>
      <c r="AO461" s="20"/>
    </row>
    <row r="462" spans="18:45">
      <c r="R462" s="97" t="s">
        <v>5599</v>
      </c>
      <c r="S462" s="93">
        <v>17900000</v>
      </c>
      <c r="U462" s="19" t="s">
        <v>5808</v>
      </c>
      <c r="V462" s="19">
        <v>95</v>
      </c>
      <c r="W462" s="115">
        <v>1990.893174</v>
      </c>
      <c r="X462" s="115">
        <f t="shared" si="77"/>
        <v>189134.85153000001</v>
      </c>
      <c r="Y462" s="259" t="s">
        <v>5096</v>
      </c>
      <c r="AA462" t="s">
        <v>25</v>
      </c>
      <c r="AI462" s="147">
        <v>167</v>
      </c>
      <c r="AJ462" s="147" t="s">
        <v>5596</v>
      </c>
      <c r="AK462" s="186">
        <v>3300000</v>
      </c>
      <c r="AL462" s="147">
        <v>11</v>
      </c>
      <c r="AM462" s="147">
        <f t="shared" si="86"/>
        <v>202</v>
      </c>
      <c r="AN462" s="147">
        <f t="shared" si="87"/>
        <v>666600000</v>
      </c>
      <c r="AO462" s="147"/>
    </row>
    <row r="463" spans="18:45">
      <c r="R463" s="97" t="s">
        <v>5611</v>
      </c>
      <c r="S463" s="93">
        <v>12114824.927374</v>
      </c>
      <c r="U463" s="19" t="s">
        <v>5810</v>
      </c>
      <c r="V463" s="19">
        <v>284</v>
      </c>
      <c r="W463" s="115">
        <v>1989.045169</v>
      </c>
      <c r="X463" s="115">
        <f t="shared" si="77"/>
        <v>564888.82799599995</v>
      </c>
      <c r="Y463" s="259" t="s">
        <v>5096</v>
      </c>
      <c r="AA463" t="s">
        <v>25</v>
      </c>
      <c r="AI463" s="147">
        <v>168</v>
      </c>
      <c r="AJ463" s="147" t="s">
        <v>5620</v>
      </c>
      <c r="AK463" s="186">
        <v>-1500000</v>
      </c>
      <c r="AL463" s="147">
        <v>42</v>
      </c>
      <c r="AM463" s="147">
        <f t="shared" si="86"/>
        <v>191</v>
      </c>
      <c r="AN463" s="147">
        <f t="shared" si="87"/>
        <v>-286500000</v>
      </c>
      <c r="AO463" s="147"/>
    </row>
    <row r="464" spans="18:45" ht="30">
      <c r="R464" s="97" t="s">
        <v>5614</v>
      </c>
      <c r="S464" s="93">
        <v>6684147.0064600008</v>
      </c>
      <c r="U464" s="187" t="s">
        <v>5813</v>
      </c>
      <c r="V464" s="187">
        <v>11034</v>
      </c>
      <c r="W464" s="186">
        <v>1960.6845390000001</v>
      </c>
      <c r="X464" s="186">
        <f t="shared" si="77"/>
        <v>21634193.203326002</v>
      </c>
      <c r="Y464" s="258" t="s">
        <v>5817</v>
      </c>
      <c r="AA464" t="s">
        <v>25</v>
      </c>
      <c r="AI464" s="20">
        <v>169</v>
      </c>
      <c r="AJ464" s="20" t="s">
        <v>5666</v>
      </c>
      <c r="AK464" s="115">
        <v>260000</v>
      </c>
      <c r="AL464" s="20">
        <v>22</v>
      </c>
      <c r="AM464" s="20">
        <f t="shared" si="86"/>
        <v>149</v>
      </c>
      <c r="AN464" s="20">
        <f t="shared" si="87"/>
        <v>38740000</v>
      </c>
      <c r="AO464" s="20"/>
      <c r="AS464" t="s">
        <v>25</v>
      </c>
    </row>
    <row r="465" spans="18:46" ht="30">
      <c r="R465" s="97" t="s">
        <v>5618</v>
      </c>
      <c r="S465" s="93">
        <v>1826535.2307560001</v>
      </c>
      <c r="U465" s="19" t="s">
        <v>5813</v>
      </c>
      <c r="V465" s="19">
        <v>4469</v>
      </c>
      <c r="W465" s="115">
        <v>1960.6845390000001</v>
      </c>
      <c r="X465" s="115">
        <f t="shared" si="77"/>
        <v>8762299.2047910001</v>
      </c>
      <c r="Y465" s="259" t="s">
        <v>5818</v>
      </c>
      <c r="AA465" t="s">
        <v>25</v>
      </c>
      <c r="AI465" s="20">
        <v>170</v>
      </c>
      <c r="AJ465" s="20" t="s">
        <v>5694</v>
      </c>
      <c r="AK465" s="115">
        <v>20000</v>
      </c>
      <c r="AL465" s="20">
        <v>0</v>
      </c>
      <c r="AM465" s="20">
        <f t="shared" si="86"/>
        <v>127</v>
      </c>
      <c r="AN465" s="20">
        <f t="shared" si="87"/>
        <v>2540000</v>
      </c>
      <c r="AO465" s="20"/>
      <c r="AS465" t="s">
        <v>25</v>
      </c>
    </row>
    <row r="466" spans="18:46">
      <c r="R466" s="97" t="s">
        <v>5620</v>
      </c>
      <c r="S466" s="93">
        <v>3577366.94</v>
      </c>
      <c r="U466" s="19" t="s">
        <v>5813</v>
      </c>
      <c r="V466" s="19">
        <v>-174834</v>
      </c>
      <c r="W466" s="115">
        <v>1955.271154</v>
      </c>
      <c r="X466" s="115">
        <f t="shared" si="77"/>
        <v>-341847876.93843603</v>
      </c>
      <c r="Y466" s="259" t="s">
        <v>5819</v>
      </c>
      <c r="AI466" s="191">
        <v>171</v>
      </c>
      <c r="AJ466" s="191" t="s">
        <v>5694</v>
      </c>
      <c r="AK466" s="192">
        <v>20000</v>
      </c>
      <c r="AL466" s="191">
        <v>7</v>
      </c>
      <c r="AM466" s="147">
        <f t="shared" ref="AM466:AM474" si="88">AL466+AM467</f>
        <v>127</v>
      </c>
      <c r="AN466" s="147">
        <f>AK466*AM466</f>
        <v>2540000</v>
      </c>
      <c r="AO466" s="191"/>
    </row>
    <row r="467" spans="18:46">
      <c r="R467" s="97" t="s">
        <v>5623</v>
      </c>
      <c r="S467" s="93">
        <v>21239029.173567999</v>
      </c>
      <c r="U467" s="19" t="s">
        <v>5813</v>
      </c>
      <c r="V467" s="19">
        <v>-78942</v>
      </c>
      <c r="W467" s="115">
        <v>1955.271154</v>
      </c>
      <c r="X467" s="115">
        <f t="shared" si="77"/>
        <v>-154353015.43906799</v>
      </c>
      <c r="Y467" s="259" t="s">
        <v>5820</v>
      </c>
      <c r="AA467" t="s">
        <v>25</v>
      </c>
      <c r="AI467" s="147">
        <v>172</v>
      </c>
      <c r="AJ467" s="147" t="s">
        <v>5702</v>
      </c>
      <c r="AK467" s="186">
        <v>70000</v>
      </c>
      <c r="AL467" s="147">
        <v>0</v>
      </c>
      <c r="AM467" s="147">
        <f t="shared" si="88"/>
        <v>120</v>
      </c>
      <c r="AN467" s="147">
        <f>AK467*AM467</f>
        <v>8400000</v>
      </c>
      <c r="AO467" s="147"/>
      <c r="AT467" t="s">
        <v>25</v>
      </c>
    </row>
    <row r="468" spans="18:46">
      <c r="R468" s="97" t="s">
        <v>5628</v>
      </c>
      <c r="S468" s="93">
        <v>242957252.40163299</v>
      </c>
      <c r="U468" s="187" t="s">
        <v>5813</v>
      </c>
      <c r="V468" s="187">
        <v>-11518</v>
      </c>
      <c r="W468" s="186">
        <v>1955.271154</v>
      </c>
      <c r="X468" s="186">
        <f t="shared" si="77"/>
        <v>-22520813.151772</v>
      </c>
      <c r="Y468" s="258" t="s">
        <v>5821</v>
      </c>
      <c r="AB468" t="s">
        <v>25</v>
      </c>
      <c r="AI468" s="20">
        <v>173</v>
      </c>
      <c r="AJ468" s="20" t="s">
        <v>5702</v>
      </c>
      <c r="AK468" s="115">
        <v>70000</v>
      </c>
      <c r="AL468" s="20">
        <v>1</v>
      </c>
      <c r="AM468" s="20">
        <f t="shared" si="88"/>
        <v>120</v>
      </c>
      <c r="AN468" s="20">
        <f>AK468*AM468</f>
        <v>8400000</v>
      </c>
      <c r="AO468" s="20"/>
    </row>
    <row r="469" spans="18:46">
      <c r="R469" s="97" t="s">
        <v>5629</v>
      </c>
      <c r="S469" s="93">
        <v>7357181.2750800001</v>
      </c>
      <c r="U469" s="19" t="s">
        <v>5832</v>
      </c>
      <c r="V469" s="19">
        <v>8622</v>
      </c>
      <c r="W469" s="115">
        <v>1930.4022150000001</v>
      </c>
      <c r="X469" s="115">
        <f t="shared" si="77"/>
        <v>16643927.89773</v>
      </c>
      <c r="Y469" s="259" t="s">
        <v>743</v>
      </c>
      <c r="AA469" t="s">
        <v>25</v>
      </c>
      <c r="AI469" s="20">
        <v>174</v>
      </c>
      <c r="AJ469" s="20" t="s">
        <v>5708</v>
      </c>
      <c r="AK469" s="115">
        <v>330000</v>
      </c>
      <c r="AL469" s="20">
        <v>0</v>
      </c>
      <c r="AM469" s="20">
        <f t="shared" si="88"/>
        <v>119</v>
      </c>
      <c r="AN469" s="20">
        <f>AK469*AM469</f>
        <v>39270000</v>
      </c>
      <c r="AO469" s="20"/>
    </row>
    <row r="470" spans="18:46">
      <c r="R470" s="97" t="s">
        <v>5633</v>
      </c>
      <c r="S470" s="93">
        <v>14951411.942400001</v>
      </c>
      <c r="U470" s="19" t="s">
        <v>5833</v>
      </c>
      <c r="V470" s="19">
        <v>17384</v>
      </c>
      <c r="W470" s="115">
        <v>1918.745255</v>
      </c>
      <c r="X470" s="115">
        <f t="shared" si="77"/>
        <v>33355467.51292</v>
      </c>
      <c r="Y470" s="259" t="s">
        <v>743</v>
      </c>
      <c r="Z470" t="s">
        <v>25</v>
      </c>
      <c r="AA470" t="s">
        <v>25</v>
      </c>
      <c r="AI470" s="147">
        <v>175</v>
      </c>
      <c r="AJ470" s="147" t="s">
        <v>5708</v>
      </c>
      <c r="AK470" s="186">
        <v>330000</v>
      </c>
      <c r="AL470" s="147">
        <v>10</v>
      </c>
      <c r="AM470" s="147">
        <f t="shared" si="88"/>
        <v>119</v>
      </c>
      <c r="AN470" s="147">
        <f t="shared" ref="AN470:AN475" si="89">AK470*AM470</f>
        <v>39270000</v>
      </c>
      <c r="AO470" s="147"/>
    </row>
    <row r="471" spans="18:46">
      <c r="R471" s="97" t="s">
        <v>5635</v>
      </c>
      <c r="S471" s="93">
        <v>47928209.377011999</v>
      </c>
      <c r="U471" s="19" t="s">
        <v>5836</v>
      </c>
      <c r="V471" s="19">
        <v>133</v>
      </c>
      <c r="W471" s="115">
        <v>1954.8389770000001</v>
      </c>
      <c r="X471" s="115">
        <f t="shared" si="77"/>
        <v>259993.58394100002</v>
      </c>
      <c r="Y471" s="259" t="s">
        <v>5096</v>
      </c>
      <c r="AB471" t="s">
        <v>25</v>
      </c>
      <c r="AI471" s="147">
        <v>176</v>
      </c>
      <c r="AJ471" s="147" t="s">
        <v>5716</v>
      </c>
      <c r="AK471" s="186">
        <v>90000000</v>
      </c>
      <c r="AL471" s="147">
        <v>16</v>
      </c>
      <c r="AM471" s="147">
        <f t="shared" si="88"/>
        <v>109</v>
      </c>
      <c r="AN471" s="147">
        <f t="shared" si="89"/>
        <v>9810000000</v>
      </c>
      <c r="AO471" s="147"/>
    </row>
    <row r="472" spans="18:46">
      <c r="R472" s="97" t="s">
        <v>5637</v>
      </c>
      <c r="S472" s="93">
        <v>2281595.69937</v>
      </c>
      <c r="U472" s="19" t="s">
        <v>5837</v>
      </c>
      <c r="V472" s="19">
        <v>140</v>
      </c>
      <c r="W472" s="115">
        <v>1928.2522289999999</v>
      </c>
      <c r="X472" s="115">
        <f t="shared" si="77"/>
        <v>269955.31205999997</v>
      </c>
      <c r="Y472" s="259" t="s">
        <v>5096</v>
      </c>
      <c r="Z472" t="s">
        <v>25</v>
      </c>
      <c r="AI472" s="147">
        <v>177</v>
      </c>
      <c r="AJ472" s="147" t="s">
        <v>5737</v>
      </c>
      <c r="AK472" s="186">
        <v>-15000000</v>
      </c>
      <c r="AL472" s="147">
        <v>65</v>
      </c>
      <c r="AM472" s="147">
        <f t="shared" si="88"/>
        <v>93</v>
      </c>
      <c r="AN472" s="147">
        <f t="shared" si="89"/>
        <v>-1395000000</v>
      </c>
      <c r="AO472" s="147" t="s">
        <v>5738</v>
      </c>
    </row>
    <row r="473" spans="18:46">
      <c r="R473" s="97" t="s">
        <v>5638</v>
      </c>
      <c r="S473" s="93">
        <v>2964916.035069</v>
      </c>
      <c r="U473" s="19" t="s">
        <v>6183</v>
      </c>
      <c r="V473" s="19">
        <v>15839</v>
      </c>
      <c r="W473" s="115">
        <v>1893.9957079999999</v>
      </c>
      <c r="X473" s="115">
        <f t="shared" si="77"/>
        <v>29998998.019012</v>
      </c>
      <c r="Y473" s="259" t="s">
        <v>6182</v>
      </c>
      <c r="AA473" t="s">
        <v>25</v>
      </c>
      <c r="AB473" t="s">
        <v>25</v>
      </c>
      <c r="AI473" s="147">
        <v>178</v>
      </c>
      <c r="AJ473" s="147" t="s">
        <v>5797</v>
      </c>
      <c r="AK473" s="186">
        <v>33833075</v>
      </c>
      <c r="AL473" s="147">
        <v>0</v>
      </c>
      <c r="AM473" s="147">
        <f t="shared" si="88"/>
        <v>28</v>
      </c>
      <c r="AN473" s="147">
        <f t="shared" si="89"/>
        <v>947326100</v>
      </c>
      <c r="AO473" s="147" t="s">
        <v>5801</v>
      </c>
    </row>
    <row r="474" spans="18:46">
      <c r="R474" s="97" t="s">
        <v>5640</v>
      </c>
      <c r="S474" s="93">
        <v>6460549.4269619994</v>
      </c>
      <c r="U474" s="19" t="s">
        <v>6186</v>
      </c>
      <c r="V474" s="19">
        <v>26601</v>
      </c>
      <c r="W474" s="115">
        <v>1880.082026</v>
      </c>
      <c r="X474" s="115">
        <f t="shared" si="77"/>
        <v>50012061.973626003</v>
      </c>
      <c r="Y474" s="259" t="s">
        <v>5334</v>
      </c>
      <c r="AI474" s="20">
        <v>197</v>
      </c>
      <c r="AJ474" s="20" t="s">
        <v>5797</v>
      </c>
      <c r="AK474" s="115">
        <v>20033075</v>
      </c>
      <c r="AL474" s="20">
        <v>28</v>
      </c>
      <c r="AM474" s="20">
        <f t="shared" si="88"/>
        <v>28</v>
      </c>
      <c r="AN474" s="20">
        <f t="shared" si="89"/>
        <v>560926100</v>
      </c>
      <c r="AO474" s="20" t="s">
        <v>5801</v>
      </c>
    </row>
    <row r="475" spans="18:46">
      <c r="R475" s="97" t="s">
        <v>5643</v>
      </c>
      <c r="S475" s="93">
        <v>5212319.8968359996</v>
      </c>
      <c r="U475" s="187" t="s">
        <v>6186</v>
      </c>
      <c r="V475" s="187">
        <v>10637</v>
      </c>
      <c r="W475" s="186">
        <v>1880.082026</v>
      </c>
      <c r="X475" s="186">
        <f t="shared" si="77"/>
        <v>19998432.510561999</v>
      </c>
      <c r="Y475" s="258" t="s">
        <v>6187</v>
      </c>
      <c r="Z475" t="s">
        <v>25</v>
      </c>
      <c r="AI475" s="147">
        <v>198</v>
      </c>
      <c r="AJ475" s="147" t="s">
        <v>5813</v>
      </c>
      <c r="AK475" s="186">
        <v>-22520813.151772</v>
      </c>
      <c r="AL475" s="147">
        <v>0</v>
      </c>
      <c r="AM475" s="147">
        <f>AL475+AM503</f>
        <v>0</v>
      </c>
      <c r="AN475" s="147">
        <f t="shared" si="89"/>
        <v>0</v>
      </c>
      <c r="AO475" s="147" t="s">
        <v>5821</v>
      </c>
    </row>
    <row r="476" spans="18:46">
      <c r="R476" s="97" t="s">
        <v>5645</v>
      </c>
      <c r="S476" s="93">
        <v>4524496.4792809999</v>
      </c>
      <c r="U476" s="19" t="s">
        <v>6192</v>
      </c>
      <c r="V476" s="19">
        <v>306</v>
      </c>
      <c r="W476" s="115">
        <v>1831.8117119999999</v>
      </c>
      <c r="X476" s="115">
        <f t="shared" si="77"/>
        <v>560534.38387200003</v>
      </c>
      <c r="Y476" s="259" t="s">
        <v>5096</v>
      </c>
      <c r="Z476" t="s">
        <v>25</v>
      </c>
      <c r="AI476" s="20">
        <v>199</v>
      </c>
      <c r="AJ476" s="20" t="s">
        <v>5813</v>
      </c>
      <c r="AK476" s="115">
        <v>-204353015</v>
      </c>
      <c r="AL476" s="20">
        <v>0</v>
      </c>
      <c r="AM476" s="20">
        <f t="shared" ref="AM476:AM479" si="90">AL476+AM477</f>
        <v>380</v>
      </c>
      <c r="AN476" s="20">
        <f t="shared" ref="AN476:AN479" si="91">AK476*AM476</f>
        <v>-77654145700</v>
      </c>
      <c r="AO476" s="20" t="s">
        <v>5822</v>
      </c>
    </row>
    <row r="477" spans="18:46">
      <c r="R477" s="97" t="s">
        <v>5647</v>
      </c>
      <c r="S477" s="93">
        <v>22866040.240959998</v>
      </c>
      <c r="U477" s="19" t="s">
        <v>6194</v>
      </c>
      <c r="V477" s="19">
        <v>325</v>
      </c>
      <c r="W477" s="115">
        <v>1789.1845169999999</v>
      </c>
      <c r="X477" s="115">
        <f t="shared" si="77"/>
        <v>581484.96802499995</v>
      </c>
      <c r="Y477" s="259" t="s">
        <v>5096</v>
      </c>
      <c r="AA477" t="s">
        <v>25</v>
      </c>
      <c r="AI477" s="20">
        <v>200</v>
      </c>
      <c r="AJ477" s="20" t="s">
        <v>5813</v>
      </c>
      <c r="AK477" s="115">
        <v>50000000</v>
      </c>
      <c r="AL477" s="20">
        <v>1</v>
      </c>
      <c r="AM477" s="20">
        <f t="shared" si="90"/>
        <v>380</v>
      </c>
      <c r="AN477" s="20">
        <f t="shared" si="91"/>
        <v>19000000000</v>
      </c>
      <c r="AO477" s="20" t="s">
        <v>5823</v>
      </c>
    </row>
    <row r="478" spans="18:46">
      <c r="R478" s="97" t="s">
        <v>5649</v>
      </c>
      <c r="S478" s="93">
        <v>15359304.269892</v>
      </c>
      <c r="U478" s="19" t="s">
        <v>6196</v>
      </c>
      <c r="V478" s="19">
        <v>1154</v>
      </c>
      <c r="W478" s="115">
        <v>1851.788857</v>
      </c>
      <c r="X478" s="115">
        <f t="shared" si="77"/>
        <v>2136964.3409779998</v>
      </c>
      <c r="Y478" s="259" t="s">
        <v>5096</v>
      </c>
      <c r="AA478" t="s">
        <v>25</v>
      </c>
      <c r="AI478" s="20">
        <v>201</v>
      </c>
      <c r="AJ478" s="20" t="s">
        <v>5829</v>
      </c>
      <c r="AK478" s="115">
        <v>50000000</v>
      </c>
      <c r="AL478" s="20">
        <v>8</v>
      </c>
      <c r="AM478" s="20">
        <f t="shared" si="90"/>
        <v>379</v>
      </c>
      <c r="AN478" s="20">
        <f t="shared" si="91"/>
        <v>18950000000</v>
      </c>
      <c r="AO478" s="20" t="s">
        <v>5823</v>
      </c>
      <c r="AT478" t="s">
        <v>25</v>
      </c>
    </row>
    <row r="479" spans="18:46" ht="30">
      <c r="R479" s="97" t="s">
        <v>5650</v>
      </c>
      <c r="S479" s="93">
        <v>2868508.1846330003</v>
      </c>
      <c r="U479" s="19" t="s">
        <v>6196</v>
      </c>
      <c r="V479" s="19">
        <v>3240</v>
      </c>
      <c r="W479" s="115">
        <v>1851.788857</v>
      </c>
      <c r="X479" s="115">
        <f t="shared" si="77"/>
        <v>5999795.8966800002</v>
      </c>
      <c r="Y479" s="259" t="s">
        <v>6197</v>
      </c>
      <c r="AB479" t="s">
        <v>25</v>
      </c>
      <c r="AI479" s="20">
        <v>202</v>
      </c>
      <c r="AJ479" s="20" t="s">
        <v>6181</v>
      </c>
      <c r="AK479" s="115">
        <v>30000000</v>
      </c>
      <c r="AL479" s="20">
        <v>2</v>
      </c>
      <c r="AM479" s="20">
        <f t="shared" si="90"/>
        <v>371</v>
      </c>
      <c r="AN479" s="20">
        <f t="shared" si="91"/>
        <v>11130000000</v>
      </c>
      <c r="AO479" s="20" t="s">
        <v>6182</v>
      </c>
    </row>
    <row r="480" spans="18:46">
      <c r="R480" s="97" t="s">
        <v>5651</v>
      </c>
      <c r="S480" s="93">
        <v>17450393.011856001</v>
      </c>
      <c r="U480" s="19" t="s">
        <v>6196</v>
      </c>
      <c r="V480" s="19">
        <v>-3240</v>
      </c>
      <c r="W480" s="115">
        <v>1851.788857</v>
      </c>
      <c r="X480" s="115">
        <f t="shared" si="77"/>
        <v>-5999795.8966800002</v>
      </c>
      <c r="Y480" s="259" t="s">
        <v>6198</v>
      </c>
      <c r="AA480" t="s">
        <v>25</v>
      </c>
      <c r="AI480" s="147">
        <v>203</v>
      </c>
      <c r="AJ480" s="147" t="s">
        <v>6186</v>
      </c>
      <c r="AK480" s="186">
        <v>20000000</v>
      </c>
      <c r="AL480" s="147">
        <v>29</v>
      </c>
      <c r="AM480" s="147">
        <f t="shared" ref="AM480:AM489" si="92">AL480+AM481</f>
        <v>369</v>
      </c>
      <c r="AN480" s="147">
        <f t="shared" ref="AN480:AN489" si="93">AK480*AM480</f>
        <v>7380000000</v>
      </c>
      <c r="AO480" s="147" t="s">
        <v>6187</v>
      </c>
    </row>
    <row r="481" spans="18:47">
      <c r="R481" s="97" t="s">
        <v>5652</v>
      </c>
      <c r="S481" s="93">
        <v>31388943.254850004</v>
      </c>
      <c r="U481" s="19" t="s">
        <v>6199</v>
      </c>
      <c r="V481" s="19">
        <v>330</v>
      </c>
      <c r="W481" s="115">
        <v>1799.34311</v>
      </c>
      <c r="X481" s="115">
        <f t="shared" si="77"/>
        <v>593783.22629999998</v>
      </c>
      <c r="Y481" s="259" t="s">
        <v>5096</v>
      </c>
      <c r="AB481" t="s">
        <v>25</v>
      </c>
      <c r="AI481" s="147">
        <v>204</v>
      </c>
      <c r="AJ481" s="147" t="s">
        <v>6207</v>
      </c>
      <c r="AK481" s="186">
        <v>-20000000</v>
      </c>
      <c r="AL481" s="147">
        <v>0</v>
      </c>
      <c r="AM481" s="147">
        <f t="shared" si="92"/>
        <v>340</v>
      </c>
      <c r="AN481" s="147">
        <f t="shared" si="93"/>
        <v>-6800000000</v>
      </c>
      <c r="AO481" s="147" t="s">
        <v>6208</v>
      </c>
    </row>
    <row r="482" spans="18:47">
      <c r="R482" s="97" t="s">
        <v>5654</v>
      </c>
      <c r="S482" s="93">
        <v>30912095.373174001</v>
      </c>
      <c r="U482" s="19" t="s">
        <v>6203</v>
      </c>
      <c r="V482" s="19">
        <v>266</v>
      </c>
      <c r="W482" s="115">
        <v>1764.9246700000001</v>
      </c>
      <c r="X482" s="115">
        <f t="shared" si="77"/>
        <v>469469.96222000004</v>
      </c>
      <c r="Y482" s="259" t="s">
        <v>5096</v>
      </c>
      <c r="Z482" t="s">
        <v>25</v>
      </c>
      <c r="AI482" s="147">
        <v>205</v>
      </c>
      <c r="AJ482" s="147" t="s">
        <v>6207</v>
      </c>
      <c r="AK482" s="186">
        <v>2000000</v>
      </c>
      <c r="AL482" s="147">
        <v>110</v>
      </c>
      <c r="AM482" s="147">
        <f t="shared" si="92"/>
        <v>340</v>
      </c>
      <c r="AN482" s="147">
        <f t="shared" si="93"/>
        <v>680000000</v>
      </c>
      <c r="AO482" s="147" t="s">
        <v>6209</v>
      </c>
    </row>
    <row r="483" spans="18:47">
      <c r="R483" s="97" t="s">
        <v>5658</v>
      </c>
      <c r="S483" s="93">
        <v>19602926.115093999</v>
      </c>
      <c r="U483" s="187" t="s">
        <v>6207</v>
      </c>
      <c r="V483" s="187">
        <v>-10637</v>
      </c>
      <c r="W483" s="186">
        <v>1739.5916549999999</v>
      </c>
      <c r="X483" s="186">
        <f t="shared" si="77"/>
        <v>-18504036.434234999</v>
      </c>
      <c r="Y483" s="258" t="s">
        <v>6210</v>
      </c>
      <c r="Z483" t="s">
        <v>25</v>
      </c>
      <c r="AB483" t="s">
        <v>25</v>
      </c>
      <c r="AI483" s="147">
        <v>206</v>
      </c>
      <c r="AJ483" s="147" t="s">
        <v>6417</v>
      </c>
      <c r="AK483" s="186">
        <v>5082711</v>
      </c>
      <c r="AL483" s="147">
        <v>89</v>
      </c>
      <c r="AM483" s="147">
        <f t="shared" si="92"/>
        <v>230</v>
      </c>
      <c r="AN483" s="147">
        <f t="shared" si="93"/>
        <v>1169023530</v>
      </c>
      <c r="AO483" s="147" t="s">
        <v>6418</v>
      </c>
    </row>
    <row r="484" spans="18:47">
      <c r="R484" s="97" t="s">
        <v>5660</v>
      </c>
      <c r="S484" s="93">
        <v>34458590.308710001</v>
      </c>
      <c r="U484" s="19" t="s">
        <v>6207</v>
      </c>
      <c r="V484" s="19">
        <v>10637</v>
      </c>
      <c r="W484" s="115">
        <v>1739.5916549999999</v>
      </c>
      <c r="X484" s="115">
        <f t="shared" si="77"/>
        <v>18504036.434234999</v>
      </c>
      <c r="Y484" s="259" t="s">
        <v>6211</v>
      </c>
      <c r="AB484" t="s">
        <v>25</v>
      </c>
      <c r="AI484" s="147">
        <v>207</v>
      </c>
      <c r="AJ484" s="147" t="s">
        <v>6840</v>
      </c>
      <c r="AK484" s="186">
        <v>7300000</v>
      </c>
      <c r="AL484" s="147">
        <v>0</v>
      </c>
      <c r="AM484" s="147">
        <f t="shared" si="92"/>
        <v>141</v>
      </c>
      <c r="AN484" s="147">
        <f t="shared" si="93"/>
        <v>1029300000</v>
      </c>
      <c r="AO484" s="147" t="s">
        <v>6842</v>
      </c>
    </row>
    <row r="485" spans="18:47" ht="30">
      <c r="R485" s="97" t="s">
        <v>5662</v>
      </c>
      <c r="S485" s="93">
        <v>21697868.203256</v>
      </c>
      <c r="U485" s="19" t="s">
        <v>6234</v>
      </c>
      <c r="V485" s="19">
        <v>39478</v>
      </c>
      <c r="W485" s="115">
        <v>1873.903047</v>
      </c>
      <c r="X485" s="115">
        <f t="shared" si="77"/>
        <v>73977944.489465997</v>
      </c>
      <c r="Y485" s="259" t="s">
        <v>6235</v>
      </c>
      <c r="AI485" s="20">
        <v>208</v>
      </c>
      <c r="AJ485" s="20" t="s">
        <v>6840</v>
      </c>
      <c r="AK485" s="115">
        <v>7000000</v>
      </c>
      <c r="AL485" s="20">
        <v>135</v>
      </c>
      <c r="AM485" s="20">
        <f t="shared" si="92"/>
        <v>141</v>
      </c>
      <c r="AN485" s="20">
        <f t="shared" si="93"/>
        <v>987000000</v>
      </c>
      <c r="AO485" s="20" t="s">
        <v>5823</v>
      </c>
    </row>
    <row r="486" spans="18:47">
      <c r="R486" s="97" t="s">
        <v>5663</v>
      </c>
      <c r="S486" s="93">
        <v>25340079.252110001</v>
      </c>
      <c r="U486" s="19" t="s">
        <v>6238</v>
      </c>
      <c r="V486" s="19">
        <v>283</v>
      </c>
      <c r="W486" s="115">
        <v>2014.7222959999999</v>
      </c>
      <c r="X486" s="115">
        <f t="shared" si="77"/>
        <v>570166.40976800001</v>
      </c>
      <c r="Y486" s="259" t="s">
        <v>6239</v>
      </c>
      <c r="Z486" t="s">
        <v>25</v>
      </c>
      <c r="AB486" t="s">
        <v>25</v>
      </c>
      <c r="AI486" s="147">
        <v>209</v>
      </c>
      <c r="AJ486" s="147" t="s">
        <v>6964</v>
      </c>
      <c r="AK486" s="186">
        <v>-20000000</v>
      </c>
      <c r="AL486" s="147">
        <v>0</v>
      </c>
      <c r="AM486" s="147">
        <f t="shared" si="92"/>
        <v>6</v>
      </c>
      <c r="AN486" s="147">
        <f t="shared" si="93"/>
        <v>-120000000</v>
      </c>
      <c r="AO486" s="147" t="s">
        <v>6968</v>
      </c>
      <c r="AS486" t="s">
        <v>25</v>
      </c>
    </row>
    <row r="487" spans="18:47">
      <c r="R487" s="97" t="s">
        <v>5666</v>
      </c>
      <c r="S487" s="93">
        <v>14780983.183526</v>
      </c>
      <c r="U487" s="19" t="s">
        <v>6241</v>
      </c>
      <c r="V487" s="19">
        <v>1704</v>
      </c>
      <c r="W487" s="115">
        <v>2104.0605820000001</v>
      </c>
      <c r="X487" s="115">
        <f t="shared" si="77"/>
        <v>3585319.2317280001</v>
      </c>
      <c r="Y487" s="259" t="s">
        <v>5096</v>
      </c>
      <c r="AA487" t="s">
        <v>25</v>
      </c>
      <c r="AB487" t="s">
        <v>25</v>
      </c>
      <c r="AI487" s="147">
        <v>210</v>
      </c>
      <c r="AJ487" s="147" t="s">
        <v>6964</v>
      </c>
      <c r="AK487" s="186">
        <v>-59825035</v>
      </c>
      <c r="AL487" s="147">
        <v>0</v>
      </c>
      <c r="AM487" s="147">
        <f t="shared" si="92"/>
        <v>6</v>
      </c>
      <c r="AN487" s="147">
        <f t="shared" si="93"/>
        <v>-358950210</v>
      </c>
      <c r="AO487" s="147" t="s">
        <v>5821</v>
      </c>
    </row>
    <row r="488" spans="18:47">
      <c r="R488" s="97" t="s">
        <v>5666</v>
      </c>
      <c r="S488" s="93">
        <v>17804396.448481999</v>
      </c>
      <c r="U488" s="19" t="s">
        <v>6244</v>
      </c>
      <c r="V488" s="19">
        <v>324</v>
      </c>
      <c r="W488" s="115">
        <v>2088.5824040000002</v>
      </c>
      <c r="X488" s="115">
        <f t="shared" si="77"/>
        <v>676700.69889600005</v>
      </c>
      <c r="Y488" s="259" t="s">
        <v>5096</v>
      </c>
      <c r="Z488" t="s">
        <v>25</v>
      </c>
      <c r="AA488" t="s">
        <v>25</v>
      </c>
      <c r="AB488" t="s">
        <v>25</v>
      </c>
      <c r="AI488" s="20">
        <v>211</v>
      </c>
      <c r="AJ488" s="20" t="s">
        <v>6964</v>
      </c>
      <c r="AK488" s="115">
        <v>-450269000</v>
      </c>
      <c r="AL488" s="20">
        <v>1</v>
      </c>
      <c r="AM488" s="20">
        <f t="shared" si="92"/>
        <v>6</v>
      </c>
      <c r="AN488" s="20">
        <f t="shared" si="93"/>
        <v>-2701614000</v>
      </c>
      <c r="AO488" s="20" t="s">
        <v>5820</v>
      </c>
    </row>
    <row r="489" spans="18:47">
      <c r="R489" s="97" t="s">
        <v>5669</v>
      </c>
      <c r="S489" s="93">
        <v>260260000</v>
      </c>
      <c r="U489" s="19" t="s">
        <v>6252</v>
      </c>
      <c r="V489" s="19">
        <v>538</v>
      </c>
      <c r="W489" s="115">
        <v>2055.3485930000002</v>
      </c>
      <c r="X489" s="115">
        <f t="shared" si="77"/>
        <v>1105777.5430340001</v>
      </c>
      <c r="Y489" s="259" t="s">
        <v>5096</v>
      </c>
      <c r="Z489" t="s">
        <v>25</v>
      </c>
      <c r="AI489" s="20">
        <v>212</v>
      </c>
      <c r="AJ489" s="20" t="s">
        <v>6973</v>
      </c>
      <c r="AK489" s="115">
        <v>50000000</v>
      </c>
      <c r="AL489" s="20">
        <v>1</v>
      </c>
      <c r="AM489" s="20">
        <f t="shared" si="92"/>
        <v>5</v>
      </c>
      <c r="AN489" s="20">
        <f t="shared" si="93"/>
        <v>250000000</v>
      </c>
      <c r="AO489" s="20" t="s">
        <v>5823</v>
      </c>
    </row>
    <row r="490" spans="18:47">
      <c r="R490" s="97" t="s">
        <v>5670</v>
      </c>
      <c r="S490" s="93">
        <v>11538335.631417999</v>
      </c>
      <c r="U490" s="19" t="s">
        <v>6256</v>
      </c>
      <c r="V490" s="19">
        <v>1031</v>
      </c>
      <c r="W490" s="115">
        <v>2245.620621</v>
      </c>
      <c r="X490" s="115">
        <f t="shared" si="77"/>
        <v>2315234.8602510002</v>
      </c>
      <c r="Y490" s="259" t="s">
        <v>5096</v>
      </c>
      <c r="Z490" t="s">
        <v>25</v>
      </c>
      <c r="AB490" t="s">
        <v>25</v>
      </c>
      <c r="AC490" t="s">
        <v>25</v>
      </c>
      <c r="AI490" s="20">
        <v>213</v>
      </c>
      <c r="AJ490" s="20" t="s">
        <v>6983</v>
      </c>
      <c r="AK490" s="115">
        <v>50000000</v>
      </c>
      <c r="AL490" s="20">
        <v>1</v>
      </c>
      <c r="AM490" s="20">
        <f t="shared" ref="AM490:AM503" si="94">AL490+AM491</f>
        <v>4</v>
      </c>
      <c r="AN490" s="20">
        <f t="shared" ref="AN490:AN503" si="95">AK490*AM490</f>
        <v>200000000</v>
      </c>
      <c r="AO490" s="20" t="s">
        <v>5823</v>
      </c>
    </row>
    <row r="491" spans="18:47">
      <c r="R491" s="97" t="s">
        <v>5678</v>
      </c>
      <c r="S491" s="93">
        <v>12429517.767776001</v>
      </c>
      <c r="U491" s="19" t="s">
        <v>6258</v>
      </c>
      <c r="V491" s="19">
        <v>1804</v>
      </c>
      <c r="W491" s="115">
        <v>2292.882846</v>
      </c>
      <c r="X491" s="115">
        <f t="shared" si="77"/>
        <v>4136360.6541840001</v>
      </c>
      <c r="Y491" s="259" t="s">
        <v>5096</v>
      </c>
      <c r="AB491" t="s">
        <v>25</v>
      </c>
      <c r="AI491" s="20">
        <v>214</v>
      </c>
      <c r="AJ491" s="20" t="s">
        <v>6985</v>
      </c>
      <c r="AK491" s="115">
        <v>50000000</v>
      </c>
      <c r="AL491" s="20">
        <v>1</v>
      </c>
      <c r="AM491" s="20">
        <f t="shared" si="94"/>
        <v>3</v>
      </c>
      <c r="AN491" s="20">
        <f t="shared" si="95"/>
        <v>150000000</v>
      </c>
      <c r="AO491" s="20" t="s">
        <v>5823</v>
      </c>
      <c r="AT491" t="s">
        <v>25</v>
      </c>
    </row>
    <row r="492" spans="18:47">
      <c r="R492" s="97" t="s">
        <v>5680</v>
      </c>
      <c r="S492" s="93">
        <v>5031176.5087869996</v>
      </c>
      <c r="U492" s="19" t="s">
        <v>6260</v>
      </c>
      <c r="V492" s="19">
        <v>1348</v>
      </c>
      <c r="W492" s="115">
        <v>2252.0137020000002</v>
      </c>
      <c r="X492" s="115">
        <f t="shared" si="77"/>
        <v>3035714.4702960001</v>
      </c>
      <c r="Y492" s="259" t="s">
        <v>5096</v>
      </c>
      <c r="AI492" s="20">
        <v>215</v>
      </c>
      <c r="AJ492" s="20" t="s">
        <v>6986</v>
      </c>
      <c r="AK492" s="115">
        <v>50000000</v>
      </c>
      <c r="AL492" s="20">
        <v>1</v>
      </c>
      <c r="AM492" s="20">
        <f t="shared" si="94"/>
        <v>2</v>
      </c>
      <c r="AN492" s="20">
        <f t="shared" si="95"/>
        <v>100000000</v>
      </c>
      <c r="AO492" s="20" t="s">
        <v>5823</v>
      </c>
      <c r="AS492" t="s">
        <v>25</v>
      </c>
    </row>
    <row r="493" spans="18:47">
      <c r="R493" s="97" t="s">
        <v>5684</v>
      </c>
      <c r="S493" s="93">
        <v>6822803.9080700008</v>
      </c>
      <c r="U493" s="19" t="s">
        <v>6268</v>
      </c>
      <c r="V493" s="19">
        <v>-76536</v>
      </c>
      <c r="W493" s="115">
        <v>2350.6086869999999</v>
      </c>
      <c r="X493" s="115">
        <f t="shared" si="77"/>
        <v>-179906186.46823201</v>
      </c>
      <c r="Y493" s="259" t="s">
        <v>6271</v>
      </c>
      <c r="AI493" s="20">
        <v>216</v>
      </c>
      <c r="AJ493" s="20" t="s">
        <v>6987</v>
      </c>
      <c r="AK493" s="115">
        <v>100000000</v>
      </c>
      <c r="AL493" s="20">
        <v>1</v>
      </c>
      <c r="AM493" s="20">
        <f t="shared" si="94"/>
        <v>1</v>
      </c>
      <c r="AN493" s="20">
        <f t="shared" si="95"/>
        <v>100000000</v>
      </c>
      <c r="AO493" s="20" t="s">
        <v>5823</v>
      </c>
      <c r="AS493" t="s">
        <v>25</v>
      </c>
      <c r="AT493" t="s">
        <v>25</v>
      </c>
      <c r="AU493" s="94" t="s">
        <v>25</v>
      </c>
    </row>
    <row r="494" spans="18:47">
      <c r="R494" s="97" t="s">
        <v>5693</v>
      </c>
      <c r="S494" s="93">
        <v>330889.73324399994</v>
      </c>
      <c r="U494" s="19" t="s">
        <v>6273</v>
      </c>
      <c r="V494" s="19">
        <v>145</v>
      </c>
      <c r="W494" s="115">
        <v>2379.7882030000001</v>
      </c>
      <c r="X494" s="115">
        <f t="shared" si="77"/>
        <v>345069.28943499998</v>
      </c>
      <c r="Y494" s="259" t="s">
        <v>5096</v>
      </c>
      <c r="Z494" t="s">
        <v>25</v>
      </c>
      <c r="AB494" t="s">
        <v>25</v>
      </c>
      <c r="AI494" s="20"/>
      <c r="AJ494" s="20"/>
      <c r="AK494" s="115"/>
      <c r="AL494" s="20"/>
      <c r="AM494" s="20">
        <f t="shared" si="94"/>
        <v>0</v>
      </c>
      <c r="AN494" s="20">
        <f t="shared" si="95"/>
        <v>0</v>
      </c>
      <c r="AO494" s="20"/>
    </row>
    <row r="495" spans="18:47">
      <c r="R495" s="97" t="s">
        <v>5694</v>
      </c>
      <c r="S495" s="93">
        <v>6610318.1610199995</v>
      </c>
      <c r="U495" s="187" t="s">
        <v>6273</v>
      </c>
      <c r="V495" s="187">
        <v>55</v>
      </c>
      <c r="W495" s="186">
        <v>2379.7882030000001</v>
      </c>
      <c r="X495" s="186">
        <f t="shared" si="77"/>
        <v>130888.351165</v>
      </c>
      <c r="Y495" s="258" t="s">
        <v>6359</v>
      </c>
      <c r="AA495" t="s">
        <v>25</v>
      </c>
      <c r="AI495" s="20"/>
      <c r="AJ495" s="20"/>
      <c r="AK495" s="115"/>
      <c r="AL495" s="20"/>
      <c r="AM495" s="20">
        <f t="shared" si="94"/>
        <v>0</v>
      </c>
      <c r="AN495" s="20">
        <f t="shared" si="95"/>
        <v>0</v>
      </c>
      <c r="AO495" s="20"/>
    </row>
    <row r="496" spans="18:47">
      <c r="R496" s="97" t="s">
        <v>5696</v>
      </c>
      <c r="S496" s="93">
        <v>710713.17725199996</v>
      </c>
      <c r="U496" s="19" t="s">
        <v>6273</v>
      </c>
      <c r="V496" s="19">
        <v>53</v>
      </c>
      <c r="W496" s="115">
        <v>2379.7882030000001</v>
      </c>
      <c r="X496" s="115">
        <f t="shared" si="77"/>
        <v>126128.77475900001</v>
      </c>
      <c r="Y496" s="259" t="s">
        <v>6360</v>
      </c>
      <c r="AA496" t="s">
        <v>25</v>
      </c>
      <c r="AC496" t="s">
        <v>25</v>
      </c>
      <c r="AI496" s="20"/>
      <c r="AJ496" s="20"/>
      <c r="AK496" s="115"/>
      <c r="AL496" s="20"/>
      <c r="AM496" s="20">
        <f t="shared" si="94"/>
        <v>0</v>
      </c>
      <c r="AN496" s="20">
        <f t="shared" si="95"/>
        <v>0</v>
      </c>
      <c r="AO496" s="20"/>
    </row>
    <row r="497" spans="18:41">
      <c r="R497" s="97" t="s">
        <v>5699</v>
      </c>
      <c r="S497" s="93">
        <v>81025</v>
      </c>
      <c r="U497" s="19" t="s">
        <v>6365</v>
      </c>
      <c r="V497" s="19">
        <v>243</v>
      </c>
      <c r="W497" s="115">
        <v>2336.5653440000001</v>
      </c>
      <c r="X497" s="115">
        <f t="shared" si="77"/>
        <v>567785.37859199999</v>
      </c>
      <c r="Y497" s="259" t="s">
        <v>5096</v>
      </c>
      <c r="AI497" s="20"/>
      <c r="AJ497" s="20"/>
      <c r="AK497" s="115"/>
      <c r="AL497" s="20"/>
      <c r="AM497" s="20">
        <f t="shared" si="94"/>
        <v>0</v>
      </c>
      <c r="AN497" s="20">
        <f t="shared" si="95"/>
        <v>0</v>
      </c>
      <c r="AO497" s="20"/>
    </row>
    <row r="498" spans="18:41">
      <c r="R498" s="97" t="s">
        <v>5700</v>
      </c>
      <c r="S498" s="93">
        <v>219696.613128</v>
      </c>
      <c r="U498" s="19" t="s">
        <v>6376</v>
      </c>
      <c r="V498" s="19">
        <v>81</v>
      </c>
      <c r="W498" s="115">
        <v>2341.77675</v>
      </c>
      <c r="X498" s="115">
        <f t="shared" si="77"/>
        <v>189683.91675</v>
      </c>
      <c r="Y498" s="259" t="s">
        <v>5096</v>
      </c>
      <c r="Z498" t="s">
        <v>25</v>
      </c>
      <c r="AI498" s="20"/>
      <c r="AJ498" s="20"/>
      <c r="AK498" s="115"/>
      <c r="AL498" s="20"/>
      <c r="AM498" s="20">
        <f t="shared" si="94"/>
        <v>0</v>
      </c>
      <c r="AN498" s="20">
        <f t="shared" si="95"/>
        <v>0</v>
      </c>
      <c r="AO498" s="20"/>
    </row>
    <row r="499" spans="18:41">
      <c r="R499" s="97" t="s">
        <v>5701</v>
      </c>
      <c r="S499" s="93">
        <v>6035472.4070199998</v>
      </c>
      <c r="U499" s="187" t="s">
        <v>6377</v>
      </c>
      <c r="V499" s="187">
        <v>21767</v>
      </c>
      <c r="W499" s="186">
        <v>2297.060872</v>
      </c>
      <c r="X499" s="186">
        <f t="shared" si="77"/>
        <v>50000124.000823997</v>
      </c>
      <c r="Y499" s="258" t="s">
        <v>6379</v>
      </c>
      <c r="AC499" t="s">
        <v>25</v>
      </c>
      <c r="AI499" s="20"/>
      <c r="AJ499" s="20"/>
      <c r="AK499" s="115"/>
      <c r="AL499" s="20"/>
      <c r="AM499" s="20">
        <f t="shared" si="94"/>
        <v>0</v>
      </c>
      <c r="AN499" s="20">
        <f t="shared" si="95"/>
        <v>0</v>
      </c>
      <c r="AO499" s="20"/>
    </row>
    <row r="500" spans="18:41">
      <c r="R500" s="97" t="s">
        <v>5702</v>
      </c>
      <c r="S500" s="93">
        <v>984486.34963200008</v>
      </c>
      <c r="U500" s="19" t="s">
        <v>6377</v>
      </c>
      <c r="V500" s="19">
        <v>4353</v>
      </c>
      <c r="W500" s="115">
        <v>2297.060872</v>
      </c>
      <c r="X500" s="115">
        <f t="shared" si="77"/>
        <v>9999105.9758160003</v>
      </c>
      <c r="Y500" s="259" t="s">
        <v>6380</v>
      </c>
      <c r="AA500" t="s">
        <v>25</v>
      </c>
      <c r="AI500" s="20"/>
      <c r="AJ500" s="20"/>
      <c r="AK500" s="115"/>
      <c r="AL500" s="20"/>
      <c r="AM500" s="20">
        <f t="shared" si="94"/>
        <v>0</v>
      </c>
      <c r="AN500" s="20">
        <f t="shared" si="95"/>
        <v>0</v>
      </c>
      <c r="AO500" s="20"/>
    </row>
    <row r="501" spans="18:41">
      <c r="R501" s="97" t="s">
        <v>5712</v>
      </c>
      <c r="S501" s="93">
        <v>2143469.938015</v>
      </c>
      <c r="U501" s="19" t="s">
        <v>6377</v>
      </c>
      <c r="V501" s="19">
        <v>226</v>
      </c>
      <c r="W501" s="115">
        <v>2297.060872</v>
      </c>
      <c r="X501" s="115">
        <f t="shared" si="77"/>
        <v>519135.75707200001</v>
      </c>
      <c r="Y501" s="259" t="s">
        <v>5096</v>
      </c>
      <c r="AB501" t="s">
        <v>25</v>
      </c>
      <c r="AC501" t="s">
        <v>25</v>
      </c>
      <c r="AI501" s="20"/>
      <c r="AJ501" s="20"/>
      <c r="AK501" s="115"/>
      <c r="AL501" s="20"/>
      <c r="AM501" s="20">
        <f t="shared" si="94"/>
        <v>0</v>
      </c>
      <c r="AN501" s="20">
        <f t="shared" si="95"/>
        <v>0</v>
      </c>
      <c r="AO501" s="20"/>
    </row>
    <row r="502" spans="18:41">
      <c r="R502" s="97" t="s">
        <v>5713</v>
      </c>
      <c r="S502" s="93">
        <v>3085460.5177150001</v>
      </c>
      <c r="U502" s="19" t="s">
        <v>6383</v>
      </c>
      <c r="V502" s="19">
        <v>1416</v>
      </c>
      <c r="W502" s="115">
        <v>2405.6595360000001</v>
      </c>
      <c r="X502" s="115">
        <f t="shared" si="77"/>
        <v>3406413.9029760002</v>
      </c>
      <c r="Y502" s="259" t="s">
        <v>5096</v>
      </c>
      <c r="AA502" t="s">
        <v>25</v>
      </c>
      <c r="AI502" s="20"/>
      <c r="AJ502" s="20"/>
      <c r="AK502" s="115"/>
      <c r="AL502" s="20"/>
      <c r="AM502" s="20">
        <f t="shared" si="94"/>
        <v>0</v>
      </c>
      <c r="AN502" s="20">
        <f t="shared" si="95"/>
        <v>0</v>
      </c>
      <c r="AO502" s="20"/>
    </row>
    <row r="503" spans="18:41">
      <c r="R503" s="97" t="s">
        <v>5714</v>
      </c>
      <c r="S503" s="93">
        <v>8261456.790906</v>
      </c>
      <c r="U503" s="19" t="s">
        <v>6385</v>
      </c>
      <c r="V503" s="19">
        <v>172</v>
      </c>
      <c r="W503" s="115">
        <v>2529.2810939999999</v>
      </c>
      <c r="X503" s="115">
        <f t="shared" si="77"/>
        <v>435036.348168</v>
      </c>
      <c r="Y503" s="259" t="s">
        <v>5096</v>
      </c>
      <c r="AA503" t="s">
        <v>25</v>
      </c>
      <c r="AI503" s="97"/>
      <c r="AJ503" s="97"/>
      <c r="AK503" s="115"/>
      <c r="AL503" s="97"/>
      <c r="AM503" s="20">
        <f t="shared" si="94"/>
        <v>0</v>
      </c>
      <c r="AN503" s="20">
        <f t="shared" si="95"/>
        <v>0</v>
      </c>
      <c r="AO503" s="20"/>
    </row>
    <row r="504" spans="18:41">
      <c r="R504" s="97" t="s">
        <v>5718</v>
      </c>
      <c r="S504" s="93">
        <v>6572373.7593120001</v>
      </c>
      <c r="U504" s="19" t="s">
        <v>6393</v>
      </c>
      <c r="V504" s="19">
        <v>-3909</v>
      </c>
      <c r="W504" s="115">
        <v>2881.8852230000002</v>
      </c>
      <c r="X504" s="115">
        <f>V504*W504</f>
        <v>-11265289.336707002</v>
      </c>
      <c r="Y504" s="259" t="s">
        <v>6394</v>
      </c>
      <c r="AI504" s="97"/>
      <c r="AJ504" s="97"/>
      <c r="AK504" s="115"/>
      <c r="AL504" s="97"/>
      <c r="AM504" s="20">
        <f>AL504+AM505</f>
        <v>0</v>
      </c>
      <c r="AN504" s="20">
        <f>AK504*AM504</f>
        <v>0</v>
      </c>
      <c r="AO504" s="97"/>
    </row>
    <row r="505" spans="18:41">
      <c r="R505" s="97" t="s">
        <v>5719</v>
      </c>
      <c r="S505" s="93">
        <v>2893243.5730909999</v>
      </c>
      <c r="U505" s="187" t="s">
        <v>6393</v>
      </c>
      <c r="V505" s="187">
        <v>-932</v>
      </c>
      <c r="W505" s="186">
        <v>2881.8852230000002</v>
      </c>
      <c r="X505" s="186">
        <f t="shared" si="77"/>
        <v>-2685917.0278360001</v>
      </c>
      <c r="Y505" s="258" t="s">
        <v>6395</v>
      </c>
      <c r="AB505" t="s">
        <v>25</v>
      </c>
      <c r="AI505" s="97"/>
      <c r="AJ505" s="97"/>
      <c r="AK505" s="93">
        <f>SUM(AK296:AK504)</f>
        <v>-8918647.1517720222</v>
      </c>
      <c r="AL505" s="97"/>
      <c r="AM505" s="97"/>
      <c r="AN505" s="97">
        <f>SUM(AN296:AN504)</f>
        <v>203170299204</v>
      </c>
      <c r="AO505" s="93">
        <f>AN505*AO282/31</f>
        <v>109233528.28493769</v>
      </c>
    </row>
    <row r="506" spans="18:41">
      <c r="R506" s="97" t="s">
        <v>5724</v>
      </c>
      <c r="S506" s="93">
        <v>94992058.939007998</v>
      </c>
      <c r="U506" s="19" t="s">
        <v>6403</v>
      </c>
      <c r="V506" s="19">
        <v>33</v>
      </c>
      <c r="W506" s="115">
        <v>2905.0202519999998</v>
      </c>
      <c r="X506" s="115">
        <f t="shared" si="77"/>
        <v>95865.668315999996</v>
      </c>
      <c r="Y506" s="259" t="s">
        <v>4406</v>
      </c>
      <c r="AK506" t="s">
        <v>4041</v>
      </c>
      <c r="AN506" t="s">
        <v>284</v>
      </c>
      <c r="AO506" t="s">
        <v>926</v>
      </c>
    </row>
    <row r="507" spans="18:41">
      <c r="R507" s="97" t="s">
        <v>5729</v>
      </c>
      <c r="S507" s="93">
        <v>275021.925965</v>
      </c>
      <c r="U507" s="187" t="s">
        <v>6417</v>
      </c>
      <c r="V507" s="187">
        <v>10421</v>
      </c>
      <c r="W507" s="186">
        <v>2780.2819920000002</v>
      </c>
      <c r="X507" s="186">
        <f t="shared" si="77"/>
        <v>28973318.638632003</v>
      </c>
      <c r="Y507" s="258" t="s">
        <v>6419</v>
      </c>
    </row>
    <row r="508" spans="18:41">
      <c r="R508" s="97" t="s">
        <v>5739</v>
      </c>
      <c r="S508" s="93">
        <v>327451.9203</v>
      </c>
      <c r="U508" s="19" t="s">
        <v>6417</v>
      </c>
      <c r="V508" s="19">
        <v>835</v>
      </c>
      <c r="W508" s="115">
        <v>2780.2819920000002</v>
      </c>
      <c r="X508" s="115">
        <f t="shared" si="77"/>
        <v>2321535.4633200001</v>
      </c>
      <c r="Y508" s="259" t="s">
        <v>5096</v>
      </c>
      <c r="AJ508" t="s">
        <v>4043</v>
      </c>
      <c r="AK508" s="112">
        <f>AK505+AO505</f>
        <v>100314881.13316567</v>
      </c>
      <c r="AN508" t="s">
        <v>25</v>
      </c>
    </row>
    <row r="509" spans="18:41">
      <c r="R509" s="97" t="s">
        <v>5747</v>
      </c>
      <c r="S509" s="93">
        <v>260081.94096800001</v>
      </c>
      <c r="U509" s="19" t="s">
        <v>6698</v>
      </c>
      <c r="V509" s="19">
        <v>410</v>
      </c>
      <c r="W509" s="115">
        <v>2678.4068379999999</v>
      </c>
      <c r="X509" s="115">
        <f t="shared" si="77"/>
        <v>1098146.8035800001</v>
      </c>
      <c r="Y509" s="259" t="s">
        <v>5096</v>
      </c>
      <c r="AJ509" t="s">
        <v>4046</v>
      </c>
      <c r="AK509" s="112">
        <f>SUM(N31:N41)</f>
        <v>4775309004</v>
      </c>
    </row>
    <row r="510" spans="18:41">
      <c r="R510" s="97" t="s">
        <v>5748</v>
      </c>
      <c r="S510" s="93">
        <v>2909284.5308940001</v>
      </c>
      <c r="U510" s="19" t="s">
        <v>6703</v>
      </c>
      <c r="V510" s="19">
        <v>201</v>
      </c>
      <c r="W510" s="115">
        <v>2688.6794049999999</v>
      </c>
      <c r="X510" s="115">
        <f t="shared" si="77"/>
        <v>540424.560405</v>
      </c>
      <c r="Y510" s="259" t="s">
        <v>5096</v>
      </c>
      <c r="AA510" t="s">
        <v>25</v>
      </c>
      <c r="AJ510" t="s">
        <v>4116</v>
      </c>
      <c r="AK510" s="112">
        <f>AK509-AK505</f>
        <v>4784227651.1517715</v>
      </c>
    </row>
    <row r="511" spans="18:41">
      <c r="R511" s="97" t="s">
        <v>5749</v>
      </c>
      <c r="S511" s="93">
        <v>37723205.094084002</v>
      </c>
      <c r="U511" s="19" t="s">
        <v>6704</v>
      </c>
      <c r="V511" s="19">
        <v>1133</v>
      </c>
      <c r="W511" s="115">
        <v>2455.1740869999999</v>
      </c>
      <c r="X511" s="115">
        <f t="shared" si="77"/>
        <v>2781712.2405709997</v>
      </c>
      <c r="Y511" s="259" t="s">
        <v>5096</v>
      </c>
      <c r="AA511" t="s">
        <v>25</v>
      </c>
      <c r="AB511" t="s">
        <v>25</v>
      </c>
      <c r="AJ511" t="s">
        <v>926</v>
      </c>
      <c r="AK511" s="112">
        <f>AO505</f>
        <v>109233528.28493769</v>
      </c>
    </row>
    <row r="512" spans="18:41">
      <c r="R512" s="97" t="s">
        <v>5750</v>
      </c>
      <c r="S512" s="93">
        <v>1500094.75168</v>
      </c>
      <c r="U512" s="19" t="s">
        <v>6707</v>
      </c>
      <c r="V512" s="19">
        <v>59</v>
      </c>
      <c r="W512" s="115">
        <v>2706.4553110000002</v>
      </c>
      <c r="X512" s="115">
        <f t="shared" si="77"/>
        <v>159680.86334900002</v>
      </c>
      <c r="Y512" s="259" t="s">
        <v>6708</v>
      </c>
      <c r="Z512" t="s">
        <v>25</v>
      </c>
      <c r="AA512" t="s">
        <v>25</v>
      </c>
      <c r="AB512" t="s">
        <v>25</v>
      </c>
      <c r="AJ512" t="s">
        <v>4047</v>
      </c>
      <c r="AK512" s="112">
        <f>AK510-AK511</f>
        <v>4674994122.8668337</v>
      </c>
      <c r="AN512" t="s">
        <v>25</v>
      </c>
      <c r="AO512" t="s">
        <v>25</v>
      </c>
    </row>
    <row r="513" spans="15:41">
      <c r="R513" s="97" t="s">
        <v>5752</v>
      </c>
      <c r="S513" s="93">
        <v>7230628.4378079996</v>
      </c>
      <c r="U513" s="19" t="s">
        <v>6731</v>
      </c>
      <c r="V513" s="19">
        <v>4795</v>
      </c>
      <c r="W513" s="115">
        <v>2908.4025580000002</v>
      </c>
      <c r="X513" s="115">
        <f t="shared" si="77"/>
        <v>13945790.265610002</v>
      </c>
      <c r="Y513" s="259" t="s">
        <v>5336</v>
      </c>
      <c r="AM513" t="s">
        <v>25</v>
      </c>
      <c r="AN513" t="s">
        <v>25</v>
      </c>
      <c r="AO513" t="s">
        <v>25</v>
      </c>
    </row>
    <row r="514" spans="15:41">
      <c r="R514" s="97" t="s">
        <v>5753</v>
      </c>
      <c r="S514" s="93">
        <v>29767389.390390001</v>
      </c>
      <c r="U514" s="19" t="s">
        <v>6733</v>
      </c>
      <c r="V514" s="19">
        <v>164</v>
      </c>
      <c r="W514" s="115">
        <v>2792.1636870000002</v>
      </c>
      <c r="X514" s="115">
        <f t="shared" si="77"/>
        <v>457914.84466800001</v>
      </c>
      <c r="Y514" s="259" t="s">
        <v>5336</v>
      </c>
    </row>
    <row r="515" spans="15:41">
      <c r="R515" s="97" t="s">
        <v>5755</v>
      </c>
      <c r="S515" s="93">
        <v>151560.25597</v>
      </c>
      <c r="U515" s="19" t="s">
        <v>6735</v>
      </c>
      <c r="V515" s="19">
        <v>352</v>
      </c>
      <c r="W515" s="115">
        <v>2768.6657369999998</v>
      </c>
      <c r="X515" s="115">
        <f t="shared" si="77"/>
        <v>974570.33942399989</v>
      </c>
      <c r="Y515" s="259" t="s">
        <v>5336</v>
      </c>
    </row>
    <row r="516" spans="15:41">
      <c r="P516" t="s">
        <v>25</v>
      </c>
      <c r="R516" s="97" t="s">
        <v>5758</v>
      </c>
      <c r="S516" s="93">
        <v>481318.88078800001</v>
      </c>
      <c r="U516" s="19" t="s">
        <v>6737</v>
      </c>
      <c r="V516" s="19">
        <v>283</v>
      </c>
      <c r="W516" s="115">
        <v>2636.7439079999999</v>
      </c>
      <c r="X516" s="115">
        <f t="shared" si="77"/>
        <v>746198.52596400003</v>
      </c>
      <c r="Y516" s="259" t="s">
        <v>5336</v>
      </c>
      <c r="Z516" t="s">
        <v>25</v>
      </c>
      <c r="AO516" t="s">
        <v>25</v>
      </c>
    </row>
    <row r="517" spans="15:41">
      <c r="R517" s="97" t="s">
        <v>5770</v>
      </c>
      <c r="S517" s="93">
        <v>146277.56820000001</v>
      </c>
      <c r="U517" s="19" t="s">
        <v>6739</v>
      </c>
      <c r="V517" s="19">
        <v>154</v>
      </c>
      <c r="W517" s="115">
        <v>2702</v>
      </c>
      <c r="X517" s="115">
        <f t="shared" si="77"/>
        <v>416108</v>
      </c>
      <c r="Y517" s="259" t="s">
        <v>5336</v>
      </c>
      <c r="Z517" t="s">
        <v>25</v>
      </c>
      <c r="AA517" t="s">
        <v>25</v>
      </c>
      <c r="AO517" t="s">
        <v>25</v>
      </c>
    </row>
    <row r="518" spans="15:41">
      <c r="R518" s="97" t="s">
        <v>5773</v>
      </c>
      <c r="S518" s="93">
        <v>424693.40162399999</v>
      </c>
      <c r="U518" s="19" t="s">
        <v>6751</v>
      </c>
      <c r="V518" s="19">
        <v>135</v>
      </c>
      <c r="W518" s="115">
        <v>2678.6709300000002</v>
      </c>
      <c r="X518" s="115">
        <f t="shared" si="77"/>
        <v>361620.57555000001</v>
      </c>
      <c r="Y518" s="259" t="s">
        <v>5336</v>
      </c>
      <c r="AA518" t="s">
        <v>25</v>
      </c>
    </row>
    <row r="519" spans="15:41">
      <c r="R519" s="97" t="s">
        <v>5775</v>
      </c>
      <c r="S519" s="93">
        <v>558320.40202399995</v>
      </c>
      <c r="U519" s="19" t="s">
        <v>6752</v>
      </c>
      <c r="V519" s="19">
        <v>291</v>
      </c>
      <c r="W519" s="115">
        <v>2616.1873500000002</v>
      </c>
      <c r="X519" s="115">
        <f t="shared" si="77"/>
        <v>761310.51884999999</v>
      </c>
      <c r="Y519" s="259" t="s">
        <v>5336</v>
      </c>
      <c r="AA519" t="s">
        <v>25</v>
      </c>
    </row>
    <row r="520" spans="15:41">
      <c r="R520" s="97" t="s">
        <v>5797</v>
      </c>
      <c r="S520" s="93">
        <v>207642.22201140001</v>
      </c>
      <c r="U520" s="19" t="s">
        <v>6754</v>
      </c>
      <c r="V520" s="19">
        <v>1194</v>
      </c>
      <c r="W520" s="115">
        <v>2552.0103049999998</v>
      </c>
      <c r="X520" s="115">
        <f t="shared" si="77"/>
        <v>3047100.3041699999</v>
      </c>
      <c r="Y520" s="259" t="s">
        <v>5336</v>
      </c>
      <c r="Z520" t="s">
        <v>25</v>
      </c>
      <c r="AA520" t="s">
        <v>25</v>
      </c>
    </row>
    <row r="521" spans="15:41">
      <c r="R521" s="97" t="s">
        <v>5797</v>
      </c>
      <c r="S521" s="93">
        <v>33832510.64875</v>
      </c>
      <c r="U521" s="19" t="s">
        <v>6757</v>
      </c>
      <c r="V521" s="19">
        <v>928</v>
      </c>
      <c r="W521" s="115">
        <v>2626.1621239999999</v>
      </c>
      <c r="X521" s="115">
        <f t="shared" si="77"/>
        <v>2437078.451072</v>
      </c>
      <c r="Y521" s="259" t="s">
        <v>5336</v>
      </c>
    </row>
    <row r="522" spans="15:41">
      <c r="R522" s="97" t="s">
        <v>5806</v>
      </c>
      <c r="S522" s="93">
        <v>637977.33504399995</v>
      </c>
      <c r="U522" s="187" t="s">
        <v>6814</v>
      </c>
      <c r="V522" s="187">
        <v>-15181</v>
      </c>
      <c r="W522" s="186">
        <v>2675.3319820000002</v>
      </c>
      <c r="X522" s="186">
        <f t="shared" si="77"/>
        <v>-40614214.818742</v>
      </c>
      <c r="Y522" s="258" t="s">
        <v>6815</v>
      </c>
      <c r="AB522" t="s">
        <v>25</v>
      </c>
    </row>
    <row r="523" spans="15:41">
      <c r="R523" s="97" t="s">
        <v>5807</v>
      </c>
      <c r="S523" s="93">
        <v>466552.25632400002</v>
      </c>
      <c r="U523" s="19" t="s">
        <v>6837</v>
      </c>
      <c r="V523" s="19">
        <v>3122</v>
      </c>
      <c r="W523" s="115">
        <v>2481.626972</v>
      </c>
      <c r="X523" s="115">
        <f t="shared" si="77"/>
        <v>7747639.4065840002</v>
      </c>
      <c r="Y523" s="259" t="s">
        <v>5336</v>
      </c>
      <c r="AB523" t="s">
        <v>5524</v>
      </c>
    </row>
    <row r="524" spans="15:41">
      <c r="R524" s="97" t="s">
        <v>5808</v>
      </c>
      <c r="S524" s="93">
        <v>149316.98805000001</v>
      </c>
      <c r="U524" s="19" t="s">
        <v>6839</v>
      </c>
      <c r="V524" s="19">
        <v>2209</v>
      </c>
      <c r="W524" s="115">
        <v>2528.2563839999998</v>
      </c>
      <c r="X524" s="115">
        <f t="shared" si="77"/>
        <v>5584918.3522559991</v>
      </c>
      <c r="Y524" s="259" t="s">
        <v>5336</v>
      </c>
      <c r="Z524" t="s">
        <v>25</v>
      </c>
    </row>
    <row r="525" spans="15:41">
      <c r="R525" s="97" t="s">
        <v>5808</v>
      </c>
      <c r="S525" s="93">
        <v>189134.85153000001</v>
      </c>
      <c r="U525" s="187" t="s">
        <v>6840</v>
      </c>
      <c r="V525" s="187">
        <v>2977</v>
      </c>
      <c r="W525" s="186">
        <v>2451.5674020000001</v>
      </c>
      <c r="X525" s="186">
        <f t="shared" si="77"/>
        <v>7298316.1557539999</v>
      </c>
      <c r="Y525" s="258" t="s">
        <v>1069</v>
      </c>
      <c r="Z525" t="s">
        <v>25</v>
      </c>
    </row>
    <row r="526" spans="15:41">
      <c r="R526" s="97" t="s">
        <v>5810</v>
      </c>
      <c r="S526" s="93">
        <v>564888.82799599995</v>
      </c>
      <c r="U526" s="19" t="s">
        <v>6840</v>
      </c>
      <c r="V526" s="19">
        <v>2857</v>
      </c>
      <c r="W526" s="115">
        <v>2451.5674020000001</v>
      </c>
      <c r="X526" s="115">
        <f t="shared" si="77"/>
        <v>7004128.0675140005</v>
      </c>
      <c r="Y526" s="259" t="s">
        <v>743</v>
      </c>
    </row>
    <row r="527" spans="15:41">
      <c r="O527" s="112"/>
      <c r="R527" s="97" t="s">
        <v>5813</v>
      </c>
      <c r="S527" s="93">
        <v>8762299.2047910001</v>
      </c>
      <c r="U527" s="19" t="s">
        <v>6840</v>
      </c>
      <c r="V527" s="19">
        <v>234</v>
      </c>
      <c r="W527" s="115">
        <v>2451.5674020000001</v>
      </c>
      <c r="X527" s="115">
        <f t="shared" si="77"/>
        <v>573666.77206800005</v>
      </c>
      <c r="Y527" s="259" t="s">
        <v>5096</v>
      </c>
      <c r="Z527" t="s">
        <v>25</v>
      </c>
    </row>
    <row r="528" spans="15:41">
      <c r="R528" s="97" t="s">
        <v>5813</v>
      </c>
      <c r="S528" s="93">
        <v>-341847876.93843603</v>
      </c>
      <c r="U528" s="19" t="s">
        <v>6846</v>
      </c>
      <c r="V528" s="19">
        <v>751</v>
      </c>
      <c r="W528" s="115">
        <v>2490.0381539999998</v>
      </c>
      <c r="X528" s="115">
        <f t="shared" si="77"/>
        <v>1870018.6536539998</v>
      </c>
      <c r="Y528" s="259" t="s">
        <v>5096</v>
      </c>
      <c r="AA528" t="s">
        <v>25</v>
      </c>
    </row>
    <row r="529" spans="18:28">
      <c r="R529" s="97" t="s">
        <v>5836</v>
      </c>
      <c r="S529" s="93">
        <v>259993.58394100002</v>
      </c>
      <c r="U529" s="19" t="s">
        <v>6854</v>
      </c>
      <c r="V529" s="19">
        <v>44</v>
      </c>
      <c r="W529" s="115">
        <v>2664.1462569999999</v>
      </c>
      <c r="X529" s="115">
        <f t="shared" si="77"/>
        <v>117222.435308</v>
      </c>
      <c r="Y529" s="259" t="s">
        <v>5096</v>
      </c>
      <c r="AA529" t="s">
        <v>25</v>
      </c>
    </row>
    <row r="530" spans="18:28">
      <c r="R530" s="97" t="s">
        <v>5837</v>
      </c>
      <c r="S530" s="93">
        <v>269955.31205999997</v>
      </c>
      <c r="U530" s="19" t="s">
        <v>6856</v>
      </c>
      <c r="V530" s="19">
        <v>717</v>
      </c>
      <c r="W530" s="115">
        <v>2706.9144700000002</v>
      </c>
      <c r="X530" s="115">
        <f t="shared" si="77"/>
        <v>1940857.6749900002</v>
      </c>
      <c r="Y530" s="259" t="s">
        <v>5096</v>
      </c>
    </row>
    <row r="531" spans="18:28">
      <c r="R531" s="97" t="s">
        <v>6192</v>
      </c>
      <c r="S531" s="93">
        <v>560534.38387200003</v>
      </c>
      <c r="U531" s="19" t="s">
        <v>6877</v>
      </c>
      <c r="V531" s="19">
        <v>86686</v>
      </c>
      <c r="W531" s="115">
        <v>2307.1718759999999</v>
      </c>
      <c r="X531" s="115">
        <f t="shared" si="77"/>
        <v>199999501.24293599</v>
      </c>
      <c r="Y531" s="426" t="s">
        <v>6883</v>
      </c>
      <c r="Z531" t="s">
        <v>25</v>
      </c>
    </row>
    <row r="532" spans="18:28">
      <c r="R532" s="97" t="s">
        <v>6194</v>
      </c>
      <c r="S532" s="93">
        <v>581484.96802499995</v>
      </c>
      <c r="U532" s="19" t="s">
        <v>6888</v>
      </c>
      <c r="V532" s="19">
        <v>81</v>
      </c>
      <c r="W532" s="115">
        <v>2411.414808</v>
      </c>
      <c r="X532" s="115">
        <f t="shared" si="77"/>
        <v>195324.59944799999</v>
      </c>
      <c r="Y532" s="259" t="s">
        <v>5096</v>
      </c>
      <c r="AA532" t="s">
        <v>25</v>
      </c>
      <c r="AB532" t="s">
        <v>25</v>
      </c>
    </row>
    <row r="533" spans="18:28">
      <c r="R533" s="97" t="s">
        <v>6196</v>
      </c>
      <c r="S533" s="93">
        <v>2136964.3409779998</v>
      </c>
      <c r="U533" s="19" t="s">
        <v>6888</v>
      </c>
      <c r="V533" s="19">
        <v>8426</v>
      </c>
      <c r="W533" s="115">
        <v>2411.414808</v>
      </c>
      <c r="X533" s="115">
        <f t="shared" si="77"/>
        <v>20318581.172208</v>
      </c>
      <c r="Y533" s="426" t="s">
        <v>6889</v>
      </c>
    </row>
    <row r="534" spans="18:28">
      <c r="R534" s="97" t="s">
        <v>6199</v>
      </c>
      <c r="S534" s="93">
        <v>593783.22629999998</v>
      </c>
      <c r="U534" s="19" t="s">
        <v>6890</v>
      </c>
      <c r="V534" s="19">
        <v>1242</v>
      </c>
      <c r="W534" s="115">
        <v>2330.0938919999999</v>
      </c>
      <c r="X534" s="115">
        <f t="shared" si="77"/>
        <v>2893976.613864</v>
      </c>
      <c r="Y534" s="259" t="s">
        <v>5096</v>
      </c>
    </row>
    <row r="535" spans="18:28">
      <c r="R535" s="97" t="s">
        <v>6203</v>
      </c>
      <c r="S535" s="93">
        <v>469469.96222000004</v>
      </c>
      <c r="U535" s="19" t="s">
        <v>6891</v>
      </c>
      <c r="V535" s="19">
        <v>149</v>
      </c>
      <c r="W535" s="115">
        <v>2336.750747</v>
      </c>
      <c r="X535" s="115">
        <f t="shared" si="77"/>
        <v>348175.86130300001</v>
      </c>
      <c r="Y535" s="259" t="s">
        <v>5096</v>
      </c>
    </row>
    <row r="536" spans="18:28">
      <c r="R536" s="97" t="s">
        <v>6234</v>
      </c>
      <c r="S536" s="93">
        <v>73977944.489465997</v>
      </c>
      <c r="U536" s="19" t="s">
        <v>6896</v>
      </c>
      <c r="V536" s="19">
        <v>125</v>
      </c>
      <c r="W536" s="115">
        <v>2522.243884</v>
      </c>
      <c r="X536" s="115">
        <f t="shared" si="77"/>
        <v>315280.48550000001</v>
      </c>
      <c r="Y536" s="259" t="s">
        <v>5096</v>
      </c>
    </row>
    <row r="537" spans="18:28" ht="30">
      <c r="R537" s="97" t="s">
        <v>6238</v>
      </c>
      <c r="S537" s="93">
        <v>570166.40976800001</v>
      </c>
      <c r="U537" s="19" t="s">
        <v>6896</v>
      </c>
      <c r="V537" s="19">
        <v>2429</v>
      </c>
      <c r="W537" s="115">
        <v>2522.243884</v>
      </c>
      <c r="X537" s="115">
        <f t="shared" si="77"/>
        <v>6126530.3942360003</v>
      </c>
      <c r="Y537" s="259" t="s">
        <v>6897</v>
      </c>
    </row>
    <row r="538" spans="18:28">
      <c r="R538" s="97" t="s">
        <v>6241</v>
      </c>
      <c r="S538" s="93">
        <v>3585319.2317280001</v>
      </c>
      <c r="U538" s="19" t="s">
        <v>6896</v>
      </c>
      <c r="V538" s="19">
        <v>-2429</v>
      </c>
      <c r="W538" s="115">
        <v>2522.243884</v>
      </c>
      <c r="X538" s="115">
        <f t="shared" si="77"/>
        <v>-6126530.3942360003</v>
      </c>
      <c r="Y538" s="426" t="s">
        <v>6898</v>
      </c>
    </row>
    <row r="539" spans="18:28">
      <c r="R539" s="97" t="s">
        <v>6244</v>
      </c>
      <c r="S539" s="93">
        <v>676700.69889600005</v>
      </c>
      <c r="U539" s="19" t="s">
        <v>6900</v>
      </c>
      <c r="V539" s="19">
        <v>73</v>
      </c>
      <c r="W539" s="115">
        <v>2521.1733559999998</v>
      </c>
      <c r="X539" s="115">
        <f t="shared" si="77"/>
        <v>184045.65498799999</v>
      </c>
      <c r="Y539" s="426" t="s">
        <v>5096</v>
      </c>
      <c r="AA539" t="s">
        <v>25</v>
      </c>
    </row>
    <row r="540" spans="18:28">
      <c r="R540" s="97" t="s">
        <v>6252</v>
      </c>
      <c r="S540" s="93">
        <v>1105777.5430340001</v>
      </c>
      <c r="U540" s="19" t="s">
        <v>6921</v>
      </c>
      <c r="V540" s="19">
        <v>1275</v>
      </c>
      <c r="W540" s="115">
        <v>2528.6778709999999</v>
      </c>
      <c r="X540" s="115">
        <f t="shared" si="77"/>
        <v>3224064.2855249997</v>
      </c>
      <c r="Y540" s="426" t="s">
        <v>5096</v>
      </c>
      <c r="AA540" t="s">
        <v>25</v>
      </c>
    </row>
    <row r="541" spans="18:28">
      <c r="R541" s="97" t="s">
        <v>6256</v>
      </c>
      <c r="S541" s="93">
        <v>2315234.8602510002</v>
      </c>
      <c r="U541" s="19" t="s">
        <v>6925</v>
      </c>
      <c r="V541" s="19">
        <v>57</v>
      </c>
      <c r="W541" s="115">
        <v>2549.1635460000002</v>
      </c>
      <c r="X541" s="115">
        <f t="shared" si="77"/>
        <v>145302.32212200001</v>
      </c>
      <c r="Y541" s="426" t="s">
        <v>5096</v>
      </c>
      <c r="Z541" t="s">
        <v>25</v>
      </c>
    </row>
    <row r="542" spans="18:28">
      <c r="R542" s="97" t="s">
        <v>6258</v>
      </c>
      <c r="S542" s="93">
        <v>4136360.6541840001</v>
      </c>
      <c r="U542" s="19" t="s">
        <v>6927</v>
      </c>
      <c r="V542" s="19">
        <v>2730</v>
      </c>
      <c r="W542" s="115">
        <v>2631.5477879999999</v>
      </c>
      <c r="X542" s="115">
        <f t="shared" si="77"/>
        <v>7184125.4612399992</v>
      </c>
      <c r="Y542" s="426" t="s">
        <v>5096</v>
      </c>
    </row>
    <row r="543" spans="18:28">
      <c r="R543" s="97" t="s">
        <v>6260</v>
      </c>
      <c r="S543" s="93">
        <v>3035714.4702960001</v>
      </c>
      <c r="U543" s="19" t="s">
        <v>6930</v>
      </c>
      <c r="V543" s="19">
        <v>3150</v>
      </c>
      <c r="W543" s="115">
        <v>2622.3760240000001</v>
      </c>
      <c r="X543" s="115">
        <f t="shared" si="77"/>
        <v>8260484.4756000005</v>
      </c>
      <c r="Y543" s="426" t="s">
        <v>5096</v>
      </c>
      <c r="Z543" t="s">
        <v>25</v>
      </c>
      <c r="AA543" t="s">
        <v>25</v>
      </c>
    </row>
    <row r="544" spans="18:28">
      <c r="R544" s="97" t="s">
        <v>6268</v>
      </c>
      <c r="S544" s="93">
        <v>-179906186.46823201</v>
      </c>
      <c r="U544" s="19" t="s">
        <v>6931</v>
      </c>
      <c r="V544" s="19">
        <v>1044</v>
      </c>
      <c r="W544" s="115">
        <v>2673.5657609999998</v>
      </c>
      <c r="X544" s="115">
        <f t="shared" si="77"/>
        <v>2791202.6544840001</v>
      </c>
      <c r="Y544" s="426" t="s">
        <v>5096</v>
      </c>
    </row>
    <row r="545" spans="18:28">
      <c r="R545" s="97" t="s">
        <v>6273</v>
      </c>
      <c r="S545" s="93">
        <v>345069.28943499998</v>
      </c>
      <c r="U545" s="19" t="s">
        <v>6932</v>
      </c>
      <c r="V545" s="19">
        <v>90</v>
      </c>
      <c r="W545" s="115">
        <v>2757.13409</v>
      </c>
      <c r="X545" s="115">
        <f t="shared" si="77"/>
        <v>248142.0681</v>
      </c>
      <c r="Y545" s="426" t="s">
        <v>5096</v>
      </c>
      <c r="Z545" t="s">
        <v>25</v>
      </c>
    </row>
    <row r="546" spans="18:28">
      <c r="R546" s="97" t="s">
        <v>6365</v>
      </c>
      <c r="S546" s="93">
        <v>567785.37859199999</v>
      </c>
      <c r="U546" s="187" t="s">
        <v>6964</v>
      </c>
      <c r="V546" s="187">
        <v>-20619</v>
      </c>
      <c r="W546" s="186">
        <v>2901.357</v>
      </c>
      <c r="X546" s="186">
        <f t="shared" si="77"/>
        <v>-59823079.983000003</v>
      </c>
      <c r="Y546" s="477" t="s">
        <v>5821</v>
      </c>
      <c r="Z546" t="s">
        <v>25</v>
      </c>
    </row>
    <row r="547" spans="18:28">
      <c r="R547" s="97" t="s">
        <v>6376</v>
      </c>
      <c r="S547" s="93">
        <v>189683.91675</v>
      </c>
      <c r="U547" s="187" t="s">
        <v>6964</v>
      </c>
      <c r="V547" s="187">
        <v>-6894</v>
      </c>
      <c r="W547" s="186">
        <v>2901.357</v>
      </c>
      <c r="X547" s="186">
        <f t="shared" si="77"/>
        <v>-20001955.158</v>
      </c>
      <c r="Y547" s="477" t="s">
        <v>6965</v>
      </c>
    </row>
    <row r="548" spans="18:28">
      <c r="R548" s="97" t="s">
        <v>6377</v>
      </c>
      <c r="S548" s="93">
        <v>10000000</v>
      </c>
      <c r="U548" s="19" t="s">
        <v>6964</v>
      </c>
      <c r="V548" s="19">
        <v>6894</v>
      </c>
      <c r="W548" s="115">
        <v>2901.357</v>
      </c>
      <c r="X548" s="115">
        <f t="shared" si="77"/>
        <v>20001955.158</v>
      </c>
      <c r="Y548" s="426" t="s">
        <v>6967</v>
      </c>
      <c r="AA548" t="s">
        <v>25</v>
      </c>
    </row>
    <row r="549" spans="18:28">
      <c r="R549" s="97" t="s">
        <v>6377</v>
      </c>
      <c r="S549" s="93">
        <v>519135.75707200001</v>
      </c>
      <c r="U549" s="19" t="s">
        <v>6964</v>
      </c>
      <c r="V549" s="19">
        <v>-193841</v>
      </c>
      <c r="W549" s="115">
        <v>2901.357</v>
      </c>
      <c r="X549" s="115">
        <f t="shared" si="77"/>
        <v>-562401942.23699999</v>
      </c>
      <c r="Y549" s="426" t="s">
        <v>5403</v>
      </c>
      <c r="Z549" t="s">
        <v>25</v>
      </c>
    </row>
    <row r="550" spans="18:28">
      <c r="R550" s="97" t="s">
        <v>6383</v>
      </c>
      <c r="S550" s="93">
        <v>3406413.9029760002</v>
      </c>
      <c r="U550" s="19" t="s">
        <v>6964</v>
      </c>
      <c r="V550" s="19">
        <v>-155192</v>
      </c>
      <c r="W550" s="115">
        <v>2901.357</v>
      </c>
      <c r="X550" s="115">
        <f t="shared" si="77"/>
        <v>-450267395.54399997</v>
      </c>
      <c r="Y550" s="426" t="s">
        <v>5822</v>
      </c>
    </row>
    <row r="551" spans="18:28">
      <c r="R551" s="97" t="s">
        <v>6385</v>
      </c>
      <c r="S551" s="93">
        <v>435036.348168</v>
      </c>
      <c r="U551" s="19" t="s">
        <v>6964</v>
      </c>
      <c r="V551" s="19">
        <v>172</v>
      </c>
      <c r="W551" s="115">
        <v>2901.357</v>
      </c>
      <c r="X551" s="115">
        <f t="shared" si="77"/>
        <v>499033.40399999998</v>
      </c>
      <c r="Y551" s="426" t="s">
        <v>5809</v>
      </c>
    </row>
    <row r="552" spans="18:28">
      <c r="R552" s="97" t="s">
        <v>6417</v>
      </c>
      <c r="S552" s="93">
        <v>2321535.4633200001</v>
      </c>
      <c r="U552" s="19" t="s">
        <v>6964</v>
      </c>
      <c r="V552" s="19">
        <v>1163</v>
      </c>
      <c r="W552" s="115">
        <v>2901.357</v>
      </c>
      <c r="X552" s="115">
        <f t="shared" si="77"/>
        <v>3374278.1910000001</v>
      </c>
      <c r="Y552" s="426" t="s">
        <v>5096</v>
      </c>
    </row>
    <row r="553" spans="18:28">
      <c r="R553" s="97" t="s">
        <v>6698</v>
      </c>
      <c r="S553" s="93">
        <v>1098146.8035800001</v>
      </c>
      <c r="U553" s="19" t="s">
        <v>6973</v>
      </c>
      <c r="V553" s="19">
        <v>17233</v>
      </c>
      <c r="W553" s="115">
        <v>2901.357</v>
      </c>
      <c r="X553" s="115">
        <f t="shared" si="77"/>
        <v>49999085.181000002</v>
      </c>
      <c r="Y553" s="426" t="s">
        <v>6974</v>
      </c>
    </row>
    <row r="554" spans="18:28">
      <c r="R554" s="97" t="s">
        <v>6703</v>
      </c>
      <c r="S554" s="93">
        <v>540424.560405</v>
      </c>
      <c r="U554" s="19" t="s">
        <v>6973</v>
      </c>
      <c r="V554" s="19">
        <v>10340</v>
      </c>
      <c r="W554" s="115">
        <v>2901.357</v>
      </c>
      <c r="X554" s="115">
        <f t="shared" si="77"/>
        <v>30000031.379999999</v>
      </c>
      <c r="Y554" s="426" t="s">
        <v>5809</v>
      </c>
      <c r="AA554" t="s">
        <v>25</v>
      </c>
    </row>
    <row r="555" spans="18:28">
      <c r="R555" s="97" t="s">
        <v>6704</v>
      </c>
      <c r="S555" s="93">
        <v>2781712.2405709997</v>
      </c>
      <c r="U555" s="19" t="s">
        <v>6983</v>
      </c>
      <c r="V555" s="19">
        <v>17234</v>
      </c>
      <c r="W555" s="115">
        <v>2901.357</v>
      </c>
      <c r="X555" s="115">
        <f t="shared" si="77"/>
        <v>50001986.538000003</v>
      </c>
      <c r="Y555" s="426" t="s">
        <v>6974</v>
      </c>
      <c r="AA555" t="s">
        <v>25</v>
      </c>
    </row>
    <row r="556" spans="18:28">
      <c r="R556" s="97" t="s">
        <v>6707</v>
      </c>
      <c r="S556" s="93">
        <v>159680.86334900002</v>
      </c>
      <c r="U556" s="19" t="s">
        <v>6985</v>
      </c>
      <c r="V556" s="19">
        <v>17234</v>
      </c>
      <c r="W556" s="115">
        <v>2901.357</v>
      </c>
      <c r="X556" s="115">
        <f t="shared" si="77"/>
        <v>50001986.538000003</v>
      </c>
      <c r="Y556" s="426" t="s">
        <v>6974</v>
      </c>
      <c r="AA556" t="s">
        <v>25</v>
      </c>
    </row>
    <row r="557" spans="18:28">
      <c r="R557" s="97" t="s">
        <v>6731</v>
      </c>
      <c r="S557" s="93">
        <v>13945790.265610002</v>
      </c>
      <c r="U557" s="19" t="s">
        <v>6986</v>
      </c>
      <c r="V557" s="19">
        <v>17233</v>
      </c>
      <c r="W557" s="115">
        <v>2901.357</v>
      </c>
      <c r="X557" s="115">
        <f t="shared" si="77"/>
        <v>49999085.181000002</v>
      </c>
      <c r="Y557" s="426" t="s">
        <v>6974</v>
      </c>
      <c r="AB557" t="s">
        <v>25</v>
      </c>
    </row>
    <row r="558" spans="18:28">
      <c r="R558" s="97" t="s">
        <v>6733</v>
      </c>
      <c r="S558" s="93">
        <v>457914.84466800001</v>
      </c>
      <c r="U558" s="19" t="s">
        <v>6987</v>
      </c>
      <c r="V558" s="19">
        <v>34467</v>
      </c>
      <c r="W558" s="115">
        <v>2901.357</v>
      </c>
      <c r="X558" s="115">
        <f t="shared" si="77"/>
        <v>100001071.719</v>
      </c>
      <c r="Y558" s="426" t="s">
        <v>6974</v>
      </c>
    </row>
    <row r="559" spans="18:28">
      <c r="R559" s="97" t="s">
        <v>6735</v>
      </c>
      <c r="S559" s="93">
        <v>974570.33942399989</v>
      </c>
      <c r="U559" s="19"/>
      <c r="V559" s="19"/>
      <c r="W559" s="115"/>
      <c r="X559" s="115"/>
      <c r="Y559" s="426"/>
    </row>
    <row r="560" spans="18:28">
      <c r="R560" s="97" t="s">
        <v>6737</v>
      </c>
      <c r="S560" s="93">
        <v>746198.52596400003</v>
      </c>
      <c r="U560" s="19"/>
      <c r="V560" s="19"/>
      <c r="W560" s="115"/>
      <c r="X560" s="115"/>
      <c r="Y560" s="426"/>
    </row>
    <row r="561" spans="18:28">
      <c r="R561" s="97" t="s">
        <v>6739</v>
      </c>
      <c r="S561" s="93">
        <v>416108</v>
      </c>
      <c r="U561" s="19"/>
      <c r="V561" s="19"/>
      <c r="W561" s="115"/>
      <c r="X561" s="115"/>
      <c r="Y561" s="426"/>
    </row>
    <row r="562" spans="18:28">
      <c r="R562" s="97" t="s">
        <v>6751</v>
      </c>
      <c r="S562" s="93">
        <v>361620.57555000001</v>
      </c>
      <c r="U562" s="19"/>
      <c r="V562" s="19"/>
      <c r="W562" s="115"/>
      <c r="X562" s="115"/>
      <c r="Y562" s="426"/>
    </row>
    <row r="563" spans="18:28">
      <c r="R563" s="97" t="s">
        <v>6752</v>
      </c>
      <c r="S563" s="93">
        <v>761310.51884999999</v>
      </c>
      <c r="U563" s="19"/>
      <c r="V563" s="19"/>
      <c r="W563" s="115"/>
      <c r="X563" s="115"/>
      <c r="Y563" s="426"/>
      <c r="AB563" t="s">
        <v>25</v>
      </c>
    </row>
    <row r="564" spans="18:28">
      <c r="R564" s="97" t="s">
        <v>6754</v>
      </c>
      <c r="S564" s="93">
        <v>3047100.3041699999</v>
      </c>
      <c r="U564" s="19"/>
      <c r="V564" s="19"/>
      <c r="W564" s="115"/>
      <c r="X564" s="115"/>
      <c r="Y564" s="426"/>
    </row>
    <row r="565" spans="18:28">
      <c r="R565" s="97" t="s">
        <v>6757</v>
      </c>
      <c r="S565" s="93">
        <v>2437078.451072</v>
      </c>
      <c r="U565" s="19"/>
      <c r="V565" s="19"/>
      <c r="W565" s="115"/>
      <c r="X565" s="115"/>
      <c r="Y565" s="426"/>
    </row>
    <row r="566" spans="18:28">
      <c r="R566" s="97" t="s">
        <v>6837</v>
      </c>
      <c r="S566" s="93">
        <v>7747639.4065840002</v>
      </c>
      <c r="U566" s="19"/>
      <c r="V566" s="19"/>
      <c r="W566" s="115"/>
      <c r="X566" s="115"/>
      <c r="Y566" s="426"/>
      <c r="AB566" t="s">
        <v>25</v>
      </c>
    </row>
    <row r="567" spans="18:28">
      <c r="R567" s="97" t="s">
        <v>6839</v>
      </c>
      <c r="S567" s="93">
        <v>5584918.3522559991</v>
      </c>
      <c r="U567" s="19"/>
      <c r="V567" s="19"/>
      <c r="W567" s="115"/>
      <c r="X567" s="115"/>
      <c r="Y567" s="426"/>
    </row>
    <row r="568" spans="18:28">
      <c r="R568" s="97" t="s">
        <v>6840</v>
      </c>
      <c r="S568" s="93">
        <v>573666.77206800005</v>
      </c>
      <c r="U568" s="19"/>
      <c r="V568" s="19"/>
      <c r="W568" s="115"/>
      <c r="X568" s="115"/>
      <c r="Y568" s="426"/>
    </row>
    <row r="569" spans="18:28">
      <c r="R569" s="97" t="s">
        <v>6846</v>
      </c>
      <c r="S569" s="93">
        <v>1870018.6536539998</v>
      </c>
      <c r="U569" s="19"/>
      <c r="V569" s="19"/>
      <c r="W569" s="115"/>
      <c r="X569" s="115">
        <f t="shared" si="77"/>
        <v>0</v>
      </c>
      <c r="Y569" s="259"/>
    </row>
    <row r="570" spans="18:28">
      <c r="R570" s="97" t="s">
        <v>6854</v>
      </c>
      <c r="S570" s="93">
        <v>117222.435308</v>
      </c>
      <c r="U570" s="97"/>
      <c r="V570" s="166"/>
      <c r="W570" s="111"/>
      <c r="X570" s="115">
        <f t="shared" si="77"/>
        <v>0</v>
      </c>
      <c r="Y570" s="97"/>
    </row>
    <row r="571" spans="18:28">
      <c r="R571" s="97" t="s">
        <v>6856</v>
      </c>
      <c r="S571" s="93">
        <v>1940857.6749900002</v>
      </c>
      <c r="U571" s="166"/>
      <c r="V571" s="166">
        <f>SUM(V170:V570)</f>
        <v>4173073</v>
      </c>
      <c r="W571" s="97"/>
      <c r="X571" s="97"/>
      <c r="Y571" s="97"/>
    </row>
    <row r="572" spans="18:28">
      <c r="R572" s="97" t="s">
        <v>6877</v>
      </c>
      <c r="S572" s="93">
        <v>200000000</v>
      </c>
      <c r="U572" s="97"/>
      <c r="V572" s="97" t="s">
        <v>6</v>
      </c>
      <c r="W572" s="97"/>
      <c r="X572" s="97"/>
      <c r="Y572" s="97"/>
    </row>
    <row r="573" spans="18:28">
      <c r="R573" s="97" t="s">
        <v>6888</v>
      </c>
      <c r="S573" s="93">
        <v>195324.59944799999</v>
      </c>
      <c r="U573" s="196" t="s">
        <v>4433</v>
      </c>
    </row>
    <row r="574" spans="18:28">
      <c r="R574" s="97" t="s">
        <v>6888</v>
      </c>
      <c r="S574" s="93">
        <v>20318581.172208</v>
      </c>
      <c r="U574" s="195">
        <f>S188/V571</f>
        <v>2911.6753349390247</v>
      </c>
      <c r="Y574" t="s">
        <v>25</v>
      </c>
    </row>
    <row r="575" spans="18:28">
      <c r="R575" s="97" t="s">
        <v>6890</v>
      </c>
      <c r="S575" s="93">
        <v>2893976.613864</v>
      </c>
      <c r="X575" s="112"/>
    </row>
    <row r="576" spans="18:28">
      <c r="R576" s="97" t="s">
        <v>6891</v>
      </c>
      <c r="S576" s="93">
        <v>348175.86130300001</v>
      </c>
      <c r="V576" s="94" t="s">
        <v>267</v>
      </c>
      <c r="W576" t="s">
        <v>4434</v>
      </c>
      <c r="Y576" t="s">
        <v>25</v>
      </c>
    </row>
    <row r="577" spans="18:25">
      <c r="R577" s="97" t="s">
        <v>6896</v>
      </c>
      <c r="S577" s="93">
        <v>315280.48550000001</v>
      </c>
      <c r="U577" s="112"/>
      <c r="V577" s="93">
        <v>30000000</v>
      </c>
      <c r="W577">
        <f>V577/W546</f>
        <v>10339.989184371314</v>
      </c>
      <c r="Y577" t="s">
        <v>25</v>
      </c>
    </row>
    <row r="578" spans="18:25">
      <c r="R578" s="97" t="s">
        <v>6896</v>
      </c>
      <c r="S578" s="93">
        <v>6128000</v>
      </c>
      <c r="U578" t="s">
        <v>25</v>
      </c>
      <c r="Y578" t="s">
        <v>25</v>
      </c>
    </row>
    <row r="579" spans="18:25">
      <c r="R579" s="97" t="s">
        <v>6900</v>
      </c>
      <c r="S579" s="93">
        <v>184045.65498799999</v>
      </c>
      <c r="U579" t="s">
        <v>25</v>
      </c>
      <c r="V579" s="94" t="s">
        <v>25</v>
      </c>
      <c r="W579" s="22"/>
      <c r="X579" s="212"/>
      <c r="Y579" s="268" t="s">
        <v>25</v>
      </c>
    </row>
    <row r="580" spans="18:25">
      <c r="R580" s="97" t="s">
        <v>6921</v>
      </c>
      <c r="S580" s="93">
        <v>3224064.2855249997</v>
      </c>
      <c r="W580" t="s">
        <v>25</v>
      </c>
      <c r="X580" s="94" t="s">
        <v>25</v>
      </c>
      <c r="Y580" t="s">
        <v>25</v>
      </c>
    </row>
    <row r="581" spans="18:25">
      <c r="R581" s="97" t="s">
        <v>6925</v>
      </c>
      <c r="S581" s="93">
        <v>145302.32212200001</v>
      </c>
      <c r="U581" t="s">
        <v>25</v>
      </c>
      <c r="X581" s="112"/>
      <c r="Y581" s="112"/>
    </row>
    <row r="582" spans="18:25">
      <c r="R582" s="97" t="s">
        <v>6927</v>
      </c>
      <c r="S582" s="93">
        <v>7184125.4612399992</v>
      </c>
      <c r="T582" t="s">
        <v>25</v>
      </c>
      <c r="U582" s="22"/>
      <c r="W582" s="212"/>
    </row>
    <row r="583" spans="18:25">
      <c r="R583" s="97" t="s">
        <v>6930</v>
      </c>
      <c r="S583" s="93">
        <v>8260484.4756000005</v>
      </c>
      <c r="U583" s="22"/>
      <c r="X583" s="268"/>
    </row>
    <row r="584" spans="18:25">
      <c r="R584" s="97" t="s">
        <v>6931</v>
      </c>
      <c r="S584" s="93">
        <v>2791202.6544840001</v>
      </c>
    </row>
    <row r="585" spans="18:25">
      <c r="R585" s="97" t="s">
        <v>6932</v>
      </c>
      <c r="S585" s="93">
        <v>248142.0681</v>
      </c>
    </row>
    <row r="586" spans="18:25">
      <c r="R586" s="97" t="s">
        <v>6964</v>
      </c>
      <c r="S586" s="93">
        <v>20001955</v>
      </c>
      <c r="U586" s="97" t="s">
        <v>4435</v>
      </c>
      <c r="V586" s="97" t="s">
        <v>4416</v>
      </c>
      <c r="W586" s="97" t="s">
        <v>936</v>
      </c>
      <c r="X586" s="359"/>
    </row>
    <row r="587" spans="18:25">
      <c r="R587" s="97" t="s">
        <v>6964</v>
      </c>
      <c r="S587" s="93">
        <v>-562401942</v>
      </c>
      <c r="U587" s="93">
        <f>T244+S321+S594</f>
        <v>1901382291.7042847</v>
      </c>
      <c r="V587" s="93">
        <f>S188</f>
        <v>12150633725</v>
      </c>
      <c r="W587" s="93">
        <f>V587-U587</f>
        <v>10249251433.295715</v>
      </c>
    </row>
    <row r="588" spans="18:25">
      <c r="R588" s="97" t="s">
        <v>6964</v>
      </c>
      <c r="S588" s="93">
        <v>499033.40399999998</v>
      </c>
      <c r="X588" s="94" t="s">
        <v>25</v>
      </c>
    </row>
    <row r="589" spans="18:25">
      <c r="R589" s="97" t="s">
        <v>6964</v>
      </c>
      <c r="S589" s="93">
        <v>3374278.1910000001</v>
      </c>
      <c r="W589">
        <v>193</v>
      </c>
    </row>
    <row r="590" spans="18:25">
      <c r="R590" s="97" t="s">
        <v>6973</v>
      </c>
      <c r="S590" s="93">
        <v>30000000</v>
      </c>
      <c r="U590" s="94" t="s">
        <v>5404</v>
      </c>
      <c r="V590" s="120">
        <v>353427</v>
      </c>
      <c r="W590" s="112">
        <f>V590*$W$589</f>
        <v>68211411</v>
      </c>
    </row>
    <row r="591" spans="18:25">
      <c r="R591" s="97"/>
      <c r="S591" s="93"/>
      <c r="U591" t="s">
        <v>6914</v>
      </c>
      <c r="V591">
        <v>2333000</v>
      </c>
      <c r="W591" s="112">
        <f>V591*$W$589</f>
        <v>450269000</v>
      </c>
    </row>
    <row r="592" spans="18:25">
      <c r="R592" s="97" t="s">
        <v>25</v>
      </c>
      <c r="S592" s="93"/>
      <c r="U592" s="478" t="s">
        <v>1069</v>
      </c>
      <c r="V592" s="479">
        <v>309975</v>
      </c>
      <c r="W592" s="480">
        <f>V592*$W$589</f>
        <v>59825175</v>
      </c>
    </row>
    <row r="593" spans="18:25">
      <c r="R593" s="97" t="s">
        <v>25</v>
      </c>
      <c r="S593" s="97" t="s">
        <v>25</v>
      </c>
      <c r="U593" t="s">
        <v>452</v>
      </c>
      <c r="V593" s="113">
        <v>2914000</v>
      </c>
      <c r="W593" s="112">
        <f>V593*$W$589</f>
        <v>562402000</v>
      </c>
    </row>
    <row r="594" spans="18:25">
      <c r="R594" s="97"/>
      <c r="S594" s="93">
        <f>SUM(S326:S593)</f>
        <v>1851123747.1390216</v>
      </c>
      <c r="U594" s="112" t="s">
        <v>25</v>
      </c>
    </row>
    <row r="595" spans="18:25">
      <c r="S595" s="97" t="s">
        <v>6</v>
      </c>
      <c r="U595" t="s">
        <v>25</v>
      </c>
    </row>
    <row r="596" spans="18:25">
      <c r="U596" t="s">
        <v>25</v>
      </c>
      <c r="W596" t="s">
        <v>25</v>
      </c>
      <c r="Y596" s="112"/>
    </row>
    <row r="597" spans="18:25">
      <c r="R597" t="s">
        <v>25</v>
      </c>
      <c r="X597" s="94" t="s">
        <v>25</v>
      </c>
    </row>
    <row r="598" spans="18:25">
      <c r="R598" t="s">
        <v>25</v>
      </c>
      <c r="U598" t="s">
        <v>25</v>
      </c>
    </row>
    <row r="599" spans="18:25">
      <c r="R599" t="s">
        <v>25</v>
      </c>
      <c r="S599" t="s">
        <v>25</v>
      </c>
      <c r="U599" t="s">
        <v>25</v>
      </c>
    </row>
    <row r="600" spans="18:25">
      <c r="R600" t="s">
        <v>25</v>
      </c>
      <c r="S600" t="s">
        <v>25</v>
      </c>
      <c r="U600" s="359" t="s">
        <v>25</v>
      </c>
      <c r="V600" s="359"/>
      <c r="W600" s="359"/>
    </row>
    <row r="601" spans="18:25">
      <c r="R601" s="112"/>
      <c r="S601" t="s">
        <v>25</v>
      </c>
      <c r="U601" s="359" t="s">
        <v>25</v>
      </c>
      <c r="V601" s="359"/>
      <c r="W601" s="359"/>
      <c r="X601" s="94" t="s">
        <v>25</v>
      </c>
    </row>
    <row r="602" spans="18:25">
      <c r="U602" s="359"/>
      <c r="V602" s="359"/>
      <c r="W602" s="359"/>
      <c r="Y602" t="s">
        <v>25</v>
      </c>
    </row>
    <row r="603" spans="18:25">
      <c r="S603" t="s">
        <v>25</v>
      </c>
      <c r="U603" s="359"/>
      <c r="V603" s="359"/>
      <c r="W603" s="359" t="s">
        <v>25</v>
      </c>
    </row>
    <row r="604" spans="18:25">
      <c r="R604" t="s">
        <v>25</v>
      </c>
      <c r="U604" s="359"/>
      <c r="V604" s="359"/>
      <c r="W604" s="359"/>
    </row>
    <row r="605" spans="18:25">
      <c r="U605" s="359" t="s">
        <v>25</v>
      </c>
      <c r="V605" s="359" t="s">
        <v>25</v>
      </c>
      <c r="W605" s="359"/>
    </row>
    <row r="606" spans="18:25">
      <c r="U606" s="359"/>
      <c r="V606" s="359"/>
      <c r="W606" s="359"/>
    </row>
    <row r="607" spans="18:25">
      <c r="U607" s="359"/>
      <c r="V607" s="359"/>
      <c r="W607" s="359"/>
    </row>
    <row r="608" spans="18:25">
      <c r="U608" s="359"/>
      <c r="V608" s="359"/>
      <c r="W608" s="359"/>
    </row>
    <row r="609" spans="21:25">
      <c r="U609" s="359"/>
      <c r="V609" s="359"/>
      <c r="W609" s="359"/>
    </row>
    <row r="610" spans="21:25">
      <c r="U610" s="359"/>
      <c r="V610" s="359"/>
      <c r="W610" s="359"/>
    </row>
    <row r="611" spans="21:25">
      <c r="U611" s="359"/>
      <c r="V611" s="359"/>
      <c r="W611" s="359"/>
      <c r="Y611" t="s">
        <v>25</v>
      </c>
    </row>
    <row r="612" spans="21:25">
      <c r="U612" s="359"/>
      <c r="V612" s="359"/>
      <c r="W612" s="359"/>
    </row>
    <row r="613" spans="21:25">
      <c r="U613" s="359"/>
      <c r="V613" s="359"/>
      <c r="W613" s="359"/>
    </row>
    <row r="614" spans="21:25">
      <c r="U614" s="359"/>
      <c r="V614" s="359"/>
      <c r="W614" s="359"/>
    </row>
    <row r="616" spans="21:25">
      <c r="U616" s="94"/>
      <c r="W616" s="94"/>
    </row>
    <row r="617" spans="21:25">
      <c r="U617" s="94"/>
      <c r="W617" s="94"/>
      <c r="X617" s="112"/>
    </row>
    <row r="618" spans="21:25">
      <c r="U618" s="94"/>
      <c r="W618" s="94"/>
    </row>
    <row r="619" spans="21:25">
      <c r="U619" s="94"/>
      <c r="W619" s="94"/>
    </row>
    <row r="621" spans="21:25">
      <c r="V621"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opLeftCell="A13" zoomScale="80" zoomScaleNormal="80" workbookViewId="0">
      <selection activeCell="S39" sqref="S3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6913</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85">
        <v>193</v>
      </c>
      <c r="Q2" s="486">
        <v>1428</v>
      </c>
      <c r="R2" t="s">
        <v>6915</v>
      </c>
      <c r="S2" s="94" t="s">
        <v>6916</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13.381421534130894</v>
      </c>
      <c r="J4" s="32">
        <f t="shared" si="2"/>
        <v>0.74040048308440376</v>
      </c>
      <c r="K4" s="32">
        <f t="shared" si="3"/>
        <v>32.502040456016637</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13.381421534130894</v>
      </c>
      <c r="J5" s="32">
        <f t="shared" si="2"/>
        <v>0.72941800204967033</v>
      </c>
      <c r="K5" s="32">
        <f t="shared" si="3"/>
        <v>34.535601862031371</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13.381421534130894</v>
      </c>
      <c r="J6" s="32">
        <f t="shared" si="2"/>
        <v>0.72332937098080829</v>
      </c>
      <c r="K6" s="32">
        <f t="shared" si="3"/>
        <v>35.68960524470841</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13.381421534130894</v>
      </c>
      <c r="J7" s="32">
        <f t="shared" si="2"/>
        <v>0.7209073231623403</v>
      </c>
      <c r="K7" s="32">
        <f t="shared" si="3"/>
        <v>36.154085413002669</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13.381421534130894</v>
      </c>
      <c r="J8" s="32">
        <f t="shared" si="2"/>
        <v>0.77915087719189657</v>
      </c>
      <c r="K8" s="32">
        <f t="shared" si="3"/>
        <v>25.784846841994955</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13.381421534130894</v>
      </c>
      <c r="J9" s="32">
        <f t="shared" si="2"/>
        <v>0.73284376820927932</v>
      </c>
      <c r="K9" s="32">
        <f t="shared" si="3"/>
        <v>33.894732015191039</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13.381421534130894</v>
      </c>
      <c r="J10" s="32">
        <f t="shared" si="2"/>
        <v>0.7215192546615572</v>
      </c>
      <c r="K10" s="32">
        <f t="shared" si="3"/>
        <v>36.036439878665426</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0.15482054890921887</v>
      </c>
      <c r="J11" s="341">
        <f t="shared" si="2"/>
        <v>1.0497816378477529</v>
      </c>
      <c r="K11" s="341">
        <f t="shared" si="3"/>
        <v>-7.3020945511882429</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0.15482054890921887</v>
      </c>
      <c r="J12" s="341">
        <f t="shared" si="2"/>
        <v>1.0408980803477665</v>
      </c>
      <c r="K12" s="341">
        <f t="shared" si="3"/>
        <v>-6.4891147826982687</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0.15482054890921887</v>
      </c>
      <c r="J13" s="341">
        <f t="shared" si="2"/>
        <v>1.0308719167016847</v>
      </c>
      <c r="K13" s="341">
        <f t="shared" si="3"/>
        <v>-5.5547383570657916</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0.15482054890921887</v>
      </c>
      <c r="J14" s="341">
        <f t="shared" si="2"/>
        <v>1.017436953528704</v>
      </c>
      <c r="K14" s="341">
        <f t="shared" si="3"/>
        <v>-4.2738116979365355</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0.15482054890921887</v>
      </c>
      <c r="J15" s="341">
        <f t="shared" si="2"/>
        <v>1.0257422385932351</v>
      </c>
      <c r="K15" s="341">
        <f t="shared" si="3"/>
        <v>-5.0696206068826406</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0.15482054890921887</v>
      </c>
      <c r="J16" s="341">
        <f t="shared" si="2"/>
        <v>1.0002254893734037</v>
      </c>
      <c r="K16" s="341">
        <f t="shared" si="3"/>
        <v>-2.5825438539408774</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0.15482054890921887</v>
      </c>
      <c r="J17" s="341">
        <f t="shared" si="2"/>
        <v>0.98097481674412135</v>
      </c>
      <c r="K17" s="341">
        <f t="shared" si="3"/>
        <v>-0.62058392823747255</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0.15482054890921887</v>
      </c>
      <c r="J18" s="341">
        <f t="shared" si="2"/>
        <v>0.96259828171582629</v>
      </c>
      <c r="K18" s="341">
        <f t="shared" si="3"/>
        <v>1.3254960573485741</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0.15482054890921887</v>
      </c>
      <c r="J19" s="341">
        <f t="shared" si="2"/>
        <v>0.95531389943965161</v>
      </c>
      <c r="K19" s="341">
        <f t="shared" si="3"/>
        <v>2.1176353391863634</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0.15482054890921887</v>
      </c>
      <c r="J20" s="341">
        <f t="shared" si="2"/>
        <v>0.93773470770991307</v>
      </c>
      <c r="K20" s="341">
        <f t="shared" si="3"/>
        <v>4.079968828939684</v>
      </c>
      <c r="L20" s="341"/>
      <c r="M20" s="341"/>
      <c r="N20" s="341">
        <f t="shared" si="8"/>
        <v>1.0187464445809729</v>
      </c>
      <c r="O20" s="40"/>
      <c r="P20">
        <v>988</v>
      </c>
      <c r="R20" s="318" t="s">
        <v>6870</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0.15482054890921887</v>
      </c>
      <c r="J21" s="341">
        <f t="shared" si="2"/>
        <v>0.87968834878208313</v>
      </c>
      <c r="K21" s="341">
        <f t="shared" si="3"/>
        <v>11.116622111056351</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0.15482054890921887</v>
      </c>
      <c r="J22" s="341">
        <f t="shared" si="2"/>
        <v>0.88195713461715808</v>
      </c>
      <c r="K22" s="341">
        <f t="shared" si="3"/>
        <v>10.824195302652907</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0.15482054890921887</v>
      </c>
      <c r="J23" s="341">
        <f t="shared" si="2"/>
        <v>0.87003780306300749</v>
      </c>
      <c r="K23" s="341">
        <f t="shared" si="3"/>
        <v>12.377534493266239</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0.15482054890921887</v>
      </c>
      <c r="J24" s="341">
        <f t="shared" si="2"/>
        <v>0.86170322606623417</v>
      </c>
      <c r="K24" s="341">
        <f t="shared" si="3"/>
        <v>13.489234788768867</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0.15482054890921887</v>
      </c>
      <c r="J25" s="341">
        <f t="shared" si="2"/>
        <v>0.86206830079395436</v>
      </c>
      <c r="K25" s="341">
        <f t="shared" si="3"/>
        <v>13.44008944523447</v>
      </c>
      <c r="L25" s="341"/>
      <c r="M25" s="341"/>
      <c r="N25" s="341">
        <f>H25/H24</f>
        <v>0.99957651298930272</v>
      </c>
      <c r="O25" s="40"/>
      <c r="P25">
        <v>1504.9</v>
      </c>
      <c r="R25" s="97">
        <v>992390</v>
      </c>
      <c r="S25" s="97">
        <v>2550570</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2.6511194029850746</v>
      </c>
      <c r="J26" s="341">
        <f t="shared" si="2"/>
        <v>1.1174421801096421</v>
      </c>
      <c r="K26" s="341">
        <f t="shared" si="3"/>
        <v>-13.069911134562584</v>
      </c>
      <c r="L26" s="341"/>
      <c r="M26" s="341"/>
      <c r="N26" s="341">
        <f>1</f>
        <v>1</v>
      </c>
      <c r="O26" s="346">
        <f t="shared" ref="O26:O36" si="12">F26-C26</f>
        <v>-614.09691980259095</v>
      </c>
      <c r="P26">
        <v>1205</v>
      </c>
      <c r="Q26">
        <v>11869</v>
      </c>
      <c r="R26" s="97">
        <f>R25*S26/S25</f>
        <v>77817.115389893239</v>
      </c>
      <c r="S26" s="97">
        <v>200000</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2.6511194029850746</v>
      </c>
      <c r="J27" s="341">
        <f t="shared" si="2"/>
        <v>1.1071332918913832</v>
      </c>
      <c r="K27" s="341">
        <f t="shared" si="3"/>
        <v>-12.236638998756955</v>
      </c>
      <c r="L27" s="341"/>
      <c r="M27" s="341"/>
      <c r="N27" s="341">
        <f t="shared" ref="N27:N32" si="13">H27/H26</f>
        <v>1.0093113343205926</v>
      </c>
      <c r="O27" s="346">
        <f t="shared" si="12"/>
        <v>-628.48567365823578</v>
      </c>
      <c r="P27">
        <v>1225</v>
      </c>
      <c r="Q27">
        <v>54062</v>
      </c>
      <c r="R27" s="97">
        <f>R25-R26</f>
        <v>914572.8846101067</v>
      </c>
      <c r="S27" s="97">
        <f>S25-S26</f>
        <v>2350570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2.6511194029850746</v>
      </c>
      <c r="J28" s="341">
        <f t="shared" si="2"/>
        <v>1.0832901882476405</v>
      </c>
      <c r="K28" s="341">
        <f t="shared" si="3"/>
        <v>-10.248631278233301</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2.6511194029850746</v>
      </c>
      <c r="J29" s="341">
        <f t="shared" si="2"/>
        <v>1.064313908524432</v>
      </c>
      <c r="K29" s="341">
        <f t="shared" si="3"/>
        <v>-8.6027574993919877</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2.6511194029850746</v>
      </c>
      <c r="J30" s="341">
        <f t="shared" si="2"/>
        <v>1.0628451131753538</v>
      </c>
      <c r="K30" s="341">
        <f t="shared" si="3"/>
        <v>-8.4729135935524891</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2.6511194029850746</v>
      </c>
      <c r="J31" s="341">
        <f t="shared" si="2"/>
        <v>1.0597837146114666</v>
      </c>
      <c r="K31" s="341">
        <f t="shared" si="3"/>
        <v>-8.2011241074207533</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2.6511194029850746</v>
      </c>
      <c r="J32" s="341">
        <f t="shared" si="2"/>
        <v>1.0441143842830256</v>
      </c>
      <c r="K32" s="341">
        <f t="shared" si="3"/>
        <v>-6.7850528243912915</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6955</v>
      </c>
      <c r="B33" s="335" t="s">
        <v>4216</v>
      </c>
      <c r="C33" s="332">
        <v>1369</v>
      </c>
      <c r="D33" s="335">
        <v>59899</v>
      </c>
      <c r="E33" s="337" t="s">
        <v>5260</v>
      </c>
      <c r="F33" s="336">
        <v>531.25</v>
      </c>
      <c r="G33" s="476">
        <f t="shared" ref="G33:G36" si="15">C33*D33*0.9912/(F33*1.003631981)</f>
        <v>152444.19056984287</v>
      </c>
      <c r="H33" s="358">
        <f t="shared" si="14"/>
        <v>2.5769411764705881</v>
      </c>
      <c r="I33" s="338">
        <f t="shared" si="11"/>
        <v>2.6511194029850746</v>
      </c>
      <c r="J33" s="341">
        <f t="shared" si="2"/>
        <v>1.0287853782584522</v>
      </c>
      <c r="K33" s="341">
        <f t="shared" si="3"/>
        <v>-5.3579964399553042</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6957</v>
      </c>
      <c r="B34" s="335" t="s">
        <v>4216</v>
      </c>
      <c r="C34" s="332">
        <v>1329</v>
      </c>
      <c r="D34" s="335">
        <v>50000</v>
      </c>
      <c r="E34" s="337" t="s">
        <v>5260</v>
      </c>
      <c r="F34" s="336">
        <v>511.48</v>
      </c>
      <c r="G34" s="476">
        <f t="shared" si="15"/>
        <v>128307.82123007737</v>
      </c>
      <c r="H34" s="358">
        <f t="shared" si="14"/>
        <v>2.5983420661609444</v>
      </c>
      <c r="I34" s="338">
        <f t="shared" si="11"/>
        <v>2.6511194029850746</v>
      </c>
      <c r="J34" s="341">
        <f t="shared" ref="J34" si="16">I34/H34</f>
        <v>1.0203119279449255</v>
      </c>
      <c r="K34" s="341">
        <f t="shared" ref="K34" si="17">(1/J34-1.0256)*100</f>
        <v>-4.5507566880882315</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6957</v>
      </c>
      <c r="B35" s="335" t="s">
        <v>4216</v>
      </c>
      <c r="C35" s="332">
        <v>1322</v>
      </c>
      <c r="D35" s="335">
        <v>992390.56599999999</v>
      </c>
      <c r="E35" s="337" t="s">
        <v>5260</v>
      </c>
      <c r="F35" s="336">
        <v>508</v>
      </c>
      <c r="G35" s="476">
        <f t="shared" si="15"/>
        <v>2550569.5557465199</v>
      </c>
      <c r="H35" s="358">
        <f t="shared" si="14"/>
        <v>2.6023622047244093</v>
      </c>
      <c r="I35" s="338">
        <f t="shared" si="11"/>
        <v>2.6511194029850746</v>
      </c>
      <c r="J35" s="341">
        <f t="shared" ref="J35" si="18">I35/H35</f>
        <v>1.0187357463815567</v>
      </c>
      <c r="K35" s="341">
        <f t="shared" ref="K35" si="19">(1/J35-1.0256)*100</f>
        <v>-4.3991174009652916</v>
      </c>
      <c r="L35" s="341" t="s">
        <v>6962</v>
      </c>
      <c r="M35" s="341"/>
      <c r="N35" s="341">
        <f>H35/H34</f>
        <v>1.0015471937339662</v>
      </c>
      <c r="O35" s="346">
        <f t="shared" si="12"/>
        <v>-814</v>
      </c>
      <c r="P35" s="474"/>
      <c r="Q35" s="474"/>
      <c r="T35" t="s">
        <v>25</v>
      </c>
      <c r="U35" s="319" t="s">
        <v>25</v>
      </c>
      <c r="W35" s="319"/>
      <c r="Y35" s="319"/>
    </row>
    <row r="36" spans="1:25" ht="18.75">
      <c r="A36" s="425" t="s">
        <v>6894</v>
      </c>
      <c r="B36" s="335" t="s">
        <v>4216</v>
      </c>
      <c r="C36" s="332">
        <f>1368/(1+$R$1)</f>
        <v>1205.1227637260949</v>
      </c>
      <c r="D36" s="335">
        <v>1</v>
      </c>
      <c r="E36" s="337" t="s">
        <v>5260</v>
      </c>
      <c r="F36" s="336">
        <v>400</v>
      </c>
      <c r="G36" s="289">
        <f t="shared" si="15"/>
        <v>2.9754872951913862</v>
      </c>
      <c r="H36" s="358">
        <f t="shared" si="14"/>
        <v>3.0128069093152372</v>
      </c>
      <c r="I36" s="338">
        <f>$S$38/$S$39</f>
        <v>2.6511194029850746</v>
      </c>
      <c r="J36" s="288">
        <f>I36/H36</f>
        <v>0.87994998776328204</v>
      </c>
      <c r="K36" s="341">
        <f t="shared" si="3"/>
        <v>11.08282219514194</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0.41044776119402987</v>
      </c>
      <c r="J37" s="32">
        <f t="shared" ref="J37:J42" si="22">I37/H37</f>
        <v>1.1038008084149111</v>
      </c>
      <c r="K37" s="32">
        <f t="shared" ref="K37:K42" si="23">(1/J37-1.0256)*100</f>
        <v>-11.963943865920168</v>
      </c>
      <c r="L37" s="32"/>
      <c r="M37" s="32"/>
      <c r="N37" s="341">
        <v>1</v>
      </c>
      <c r="O37" s="40"/>
      <c r="P37" s="40" t="s">
        <v>25</v>
      </c>
      <c r="Q37">
        <v>230485</v>
      </c>
      <c r="R37" s="67" t="s">
        <v>5835</v>
      </c>
      <c r="S37" s="296">
        <v>3057</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0.41044776119402987</v>
      </c>
      <c r="J38" s="32">
        <f t="shared" si="22"/>
        <v>1.0909193911599429</v>
      </c>
      <c r="K38" s="347">
        <f t="shared" si="23"/>
        <v>-10.894198832351032</v>
      </c>
      <c r="L38" s="32" t="s">
        <v>25</v>
      </c>
      <c r="M38" s="32" t="s">
        <v>25</v>
      </c>
      <c r="N38" s="32">
        <f>H38/H37</f>
        <v>1.0118078543285145</v>
      </c>
      <c r="O38" s="40"/>
      <c r="P38" s="40" t="s">
        <v>25</v>
      </c>
      <c r="Q38">
        <v>50000</v>
      </c>
      <c r="R38" s="97" t="s">
        <v>4216</v>
      </c>
      <c r="S38" s="276">
        <v>1421</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2.151301900070373</v>
      </c>
      <c r="J39" s="32">
        <f t="shared" si="22"/>
        <v>1.1144434981223112</v>
      </c>
      <c r="K39" s="347">
        <f t="shared" si="23"/>
        <v>-12.829116228425519</v>
      </c>
      <c r="L39" s="32" t="s">
        <v>25</v>
      </c>
      <c r="M39" s="32" t="s">
        <v>25</v>
      </c>
      <c r="N39" s="32">
        <v>1</v>
      </c>
      <c r="O39" s="40"/>
      <c r="P39" s="40" t="s">
        <v>25</v>
      </c>
      <c r="R39" s="97" t="s">
        <v>5260</v>
      </c>
      <c r="S39" s="286">
        <v>536</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5.7033582089552235</v>
      </c>
      <c r="J40" s="32">
        <f t="shared" si="22"/>
        <v>1.1582949827639648</v>
      </c>
      <c r="K40" s="347">
        <f t="shared" si="23"/>
        <v>-16.226206373978734</v>
      </c>
      <c r="L40" s="32" t="s">
        <v>25</v>
      </c>
      <c r="M40" s="32" t="s">
        <v>25</v>
      </c>
      <c r="N40" s="32">
        <v>1</v>
      </c>
      <c r="O40" s="40"/>
      <c r="P40" s="40"/>
      <c r="R40" s="97" t="s">
        <v>5789</v>
      </c>
      <c r="S40" s="315">
        <v>1413</v>
      </c>
      <c r="V40" t="s">
        <v>25</v>
      </c>
    </row>
    <row r="41" spans="1:25" ht="18.75" customHeight="1">
      <c r="A41" s="335" t="s">
        <v>6845</v>
      </c>
      <c r="B41" s="335" t="s">
        <v>4216</v>
      </c>
      <c r="C41" s="332">
        <f>1480/(1+$R$1)</f>
        <v>1303.7877853177051</v>
      </c>
      <c r="D41" s="335">
        <f>1*(1+$R$1)</f>
        <v>1.1351540616246498</v>
      </c>
      <c r="E41" s="380" t="s">
        <v>4652</v>
      </c>
      <c r="F41" s="380">
        <v>666</v>
      </c>
      <c r="G41" s="380">
        <f t="shared" si="20"/>
        <v>2.1943794581427665</v>
      </c>
      <c r="H41" s="380">
        <f t="shared" si="21"/>
        <v>1.9576393172938515</v>
      </c>
      <c r="I41" s="380">
        <f>$S$38/$S$43</f>
        <v>1.6523255813953488</v>
      </c>
      <c r="J41" s="32">
        <f t="shared" si="22"/>
        <v>0.84403984268125853</v>
      </c>
      <c r="K41" s="347">
        <f t="shared" si="23"/>
        <v>15.917819343611006</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1.005661712668082</v>
      </c>
      <c r="J42" s="32">
        <f t="shared" si="22"/>
        <v>1.0039382924298297</v>
      </c>
      <c r="K42" s="32">
        <f t="shared" si="23"/>
        <v>-2.9522843126441489</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860</v>
      </c>
      <c r="V43" t="s">
        <v>25</v>
      </c>
    </row>
    <row r="44" spans="1:25" ht="18.75" customHeight="1">
      <c r="A44" s="404" t="s">
        <v>6836</v>
      </c>
      <c r="B44" s="317" t="s">
        <v>1068</v>
      </c>
      <c r="C44" s="44">
        <v>11500000</v>
      </c>
      <c r="D44" s="317">
        <v>1</v>
      </c>
      <c r="E44" s="271" t="s">
        <v>4216</v>
      </c>
      <c r="F44" s="272">
        <f>1349.5/(1+$R$1)</f>
        <v>1188.8254164096238</v>
      </c>
      <c r="G44" s="271">
        <f>C44*D44*0.99875/(F44*1.0037158)</f>
        <v>9625.5552359170815</v>
      </c>
      <c r="H44" s="405">
        <f>C44/F44</f>
        <v>9673.4136411140953</v>
      </c>
      <c r="I44" s="406">
        <f>$S$44/$S$38</f>
        <v>9429.9788881069671</v>
      </c>
      <c r="J44" s="20">
        <f>I44/H44</f>
        <v>0.97483465899023714</v>
      </c>
      <c r="K44" s="20">
        <f>(1/J44-1.0153)*100</f>
        <v>1.0514983882322859</v>
      </c>
      <c r="L44" s="20"/>
      <c r="M44" s="20"/>
      <c r="N44" s="20">
        <f>1</f>
        <v>1</v>
      </c>
      <c r="O44" s="409"/>
      <c r="P44" s="409" t="s">
        <v>25</v>
      </c>
      <c r="Q44">
        <v>1.3455999999999999</v>
      </c>
      <c r="R44" s="67" t="s">
        <v>1068</v>
      </c>
      <c r="S44" s="316">
        <v>13400000</v>
      </c>
      <c r="X44" s="420"/>
    </row>
    <row r="45" spans="1:25" ht="20.25" customHeight="1">
      <c r="A45" s="404" t="s">
        <v>6835</v>
      </c>
      <c r="B45" s="317" t="s">
        <v>1068</v>
      </c>
      <c r="C45" s="44">
        <v>12700000</v>
      </c>
      <c r="D45" s="317">
        <v>1</v>
      </c>
      <c r="E45" s="271" t="s">
        <v>4216</v>
      </c>
      <c r="F45" s="272">
        <f>1386/(1+$R$1)</f>
        <v>1220.9796421961753</v>
      </c>
      <c r="G45" s="271">
        <f>C45*D45*0.99875/(F45*1.0037158)</f>
        <v>10350.023354291381</v>
      </c>
      <c r="H45" s="405">
        <f>C45/F45</f>
        <v>10401.483825853573</v>
      </c>
      <c r="I45" s="406">
        <f>$S$44/$S$38</f>
        <v>9429.9788881069671</v>
      </c>
      <c r="J45" s="20">
        <f>I45/H45</f>
        <v>0.9065993896628608</v>
      </c>
      <c r="K45" s="20">
        <f>(1/J45-1.0153)*100</f>
        <v>8.7723023622233285</v>
      </c>
      <c r="L45" s="259" t="s">
        <v>6855</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9429.9788881069671</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6918</v>
      </c>
      <c r="B48" s="317" t="s">
        <v>6919</v>
      </c>
      <c r="C48" s="44">
        <v>135735000</v>
      </c>
      <c r="D48" s="317">
        <v>416.55</v>
      </c>
      <c r="E48" s="271" t="s">
        <v>5260</v>
      </c>
      <c r="F48" s="272">
        <f>C48/(D48*1.003631981)</f>
        <v>324676.0223228187</v>
      </c>
      <c r="G48" s="271"/>
      <c r="H48" s="405" t="s">
        <v>6920</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6935</v>
      </c>
      <c r="B51" s="337" t="s">
        <v>5260</v>
      </c>
      <c r="C51" s="336">
        <v>540</v>
      </c>
      <c r="D51" s="337">
        <v>72176</v>
      </c>
      <c r="E51" s="335" t="s">
        <v>4216</v>
      </c>
      <c r="F51" s="332">
        <v>1311</v>
      </c>
      <c r="G51" s="335">
        <f t="shared" ref="G51" si="24">C51*D51*0.9912/(F51*1.003631981)</f>
        <v>29360.98894258682</v>
      </c>
      <c r="H51" s="449">
        <f>C51/F51</f>
        <v>0.41189931350114417</v>
      </c>
      <c r="I51" s="334">
        <f>$S$39/$S$38</f>
        <v>0.37719915552427868</v>
      </c>
      <c r="J51" s="335">
        <f>I51/H51</f>
        <v>0.91575572757838763</v>
      </c>
      <c r="K51" s="341">
        <f>(1/J51-1.0256)*100</f>
        <v>6.6394262099115364</v>
      </c>
      <c r="L51" s="341" t="s">
        <v>6934</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13.381421534130894</v>
      </c>
      <c r="J64" s="97">
        <f t="shared" ref="J64:J70" si="29">I64/H64</f>
        <v>0.73768100320515384</v>
      </c>
      <c r="K64" s="97">
        <f t="shared" ref="K64:K70" si="30">(1/J64-1.0256)*100</f>
        <v>32.999950121406819</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13.381421534130894</v>
      </c>
      <c r="J65" s="97">
        <f t="shared" si="29"/>
        <v>0.69294206542905556</v>
      </c>
      <c r="K65" s="97">
        <f t="shared" si="30"/>
        <v>41.752208753096888</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13.381421534130894</v>
      </c>
      <c r="J66" s="97">
        <f t="shared" si="29"/>
        <v>0.66351014747574755</v>
      </c>
      <c r="K66" s="97">
        <f t="shared" si="30"/>
        <v>48.153595534957773</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13.381421534130894</v>
      </c>
      <c r="J67" s="97">
        <f t="shared" si="29"/>
        <v>0.64555560790179589</v>
      </c>
      <c r="K67" s="97">
        <f t="shared" si="30"/>
        <v>52.345323067400784</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13.381421534130894</v>
      </c>
      <c r="J68" s="97">
        <f t="shared" si="29"/>
        <v>0.65003972163578072</v>
      </c>
      <c r="K68" s="97">
        <f t="shared" si="30"/>
        <v>51.276752850051686</v>
      </c>
      <c r="L68" s="93">
        <v>0</v>
      </c>
      <c r="M68" s="93">
        <f t="shared" si="31"/>
        <v>0</v>
      </c>
      <c r="N68" s="97" t="s">
        <v>6268</v>
      </c>
      <c r="P68" t="s">
        <v>6892</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13.381421534130894</v>
      </c>
      <c r="J69" s="97">
        <f t="shared" si="29"/>
        <v>0.65196751336881731</v>
      </c>
      <c r="K69" s="97">
        <f t="shared" si="30"/>
        <v>50.82187555279323</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0.15482054890921887</v>
      </c>
      <c r="J70" s="97">
        <f t="shared" si="29"/>
        <v>1.0570738502248173E-2</v>
      </c>
      <c r="K70" s="97">
        <f t="shared" si="30"/>
        <v>9357.5169831485382</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6887</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6887</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6858</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6285</v>
      </c>
      <c r="C1" s="489"/>
      <c r="D1" s="489" t="s">
        <v>6286</v>
      </c>
      <c r="E1" s="489"/>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0" t="s">
        <v>1071</v>
      </c>
      <c r="R21" s="490"/>
      <c r="S21" s="490"/>
      <c r="T21" s="490"/>
      <c r="U21" s="94"/>
      <c r="V21" s="94"/>
      <c r="W21" s="41" t="s">
        <v>4941</v>
      </c>
      <c r="X21" s="41">
        <v>9035210431</v>
      </c>
      <c r="Y21" s="41">
        <v>50</v>
      </c>
      <c r="Z21" s="41" t="s">
        <v>5203</v>
      </c>
      <c r="AA21" t="s">
        <v>4959</v>
      </c>
    </row>
    <row r="22" spans="5:35">
      <c r="O22" s="97"/>
      <c r="P22" s="97"/>
      <c r="Q22" s="490"/>
      <c r="R22" s="490"/>
      <c r="S22" s="490"/>
      <c r="T22" s="490"/>
      <c r="U22" s="94"/>
      <c r="V22" s="94"/>
      <c r="W22" s="41" t="s">
        <v>5028</v>
      </c>
      <c r="X22" s="41">
        <v>9909620343</v>
      </c>
      <c r="Y22" s="41">
        <v>200</v>
      </c>
      <c r="Z22" s="41" t="s">
        <v>5204</v>
      </c>
      <c r="AA22" t="s">
        <v>5207</v>
      </c>
      <c r="AB22" s="41" t="s">
        <v>5215</v>
      </c>
    </row>
    <row r="23" spans="5:35" ht="15.75">
      <c r="O23" s="176"/>
      <c r="P23" s="97" t="s">
        <v>4067</v>
      </c>
      <c r="Q23" s="491" t="s">
        <v>1072</v>
      </c>
      <c r="R23" s="492" t="s">
        <v>1073</v>
      </c>
      <c r="S23" s="491" t="s">
        <v>1074</v>
      </c>
      <c r="T23" s="493" t="s">
        <v>1075</v>
      </c>
      <c r="W23" s="41" t="s">
        <v>5029</v>
      </c>
      <c r="X23" s="41">
        <v>9378807702</v>
      </c>
      <c r="Y23" s="41">
        <v>0</v>
      </c>
      <c r="Z23" s="41">
        <v>0</v>
      </c>
      <c r="AD23" t="s">
        <v>25</v>
      </c>
    </row>
    <row r="24" spans="5:35">
      <c r="O24" s="97"/>
      <c r="P24" s="97"/>
      <c r="Q24" s="491"/>
      <c r="R24" s="492"/>
      <c r="S24" s="491"/>
      <c r="T24" s="493"/>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1435</v>
      </c>
      <c r="H4" s="115">
        <f>C4*G4</f>
        <v>423325000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448684191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1435</v>
      </c>
      <c r="H19" s="115">
        <f>C19*G19</f>
        <v>18563160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289326443</v>
      </c>
    </row>
    <row r="26" spans="1:8">
      <c r="D26" t="s">
        <v>5383</v>
      </c>
      <c r="E26" s="112">
        <f>'خرید خانه'!H10+'خرید خانه'!H23-'خرید خانه'!D10-'خرید خانه'!D23</f>
        <v>436310634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2022-04-23T11:14:35Z</dcterms:modified>
</cp:coreProperties>
</file>