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F118" i="60" l="1"/>
  <c r="F117" i="60"/>
  <c r="D117" i="60"/>
  <c r="D123" i="60" s="1"/>
  <c r="I118" i="60" l="1"/>
  <c r="I119" i="60" s="1"/>
  <c r="F119" i="60" s="1"/>
  <c r="V71" i="18"/>
  <c r="W71" i="18" s="1"/>
  <c r="S71" i="18"/>
  <c r="L37" i="18"/>
  <c r="K192" i="63"/>
  <c r="K191" i="63"/>
  <c r="K190" i="63"/>
  <c r="K189" i="63"/>
  <c r="K188" i="63"/>
  <c r="J188" i="63"/>
  <c r="G188" i="63"/>
  <c r="H188" i="63"/>
  <c r="E188" i="63"/>
  <c r="F188" i="63" s="1"/>
  <c r="I188" i="63"/>
  <c r="I120" i="60" l="1"/>
  <c r="X71" i="18"/>
  <c r="W471" i="18"/>
  <c r="J187" i="63"/>
  <c r="J184" i="63"/>
  <c r="J186" i="63"/>
  <c r="J185" i="63"/>
  <c r="J183" i="63"/>
  <c r="J182" i="63"/>
  <c r="J181" i="63"/>
  <c r="F120" i="60" l="1"/>
  <c r="F123" i="60" s="1"/>
  <c r="J37" i="18"/>
  <c r="V155" i="18" l="1"/>
  <c r="AJ264" i="18"/>
  <c r="AJ469" i="18"/>
  <c r="W470" i="18" l="1"/>
  <c r="W469" i="18"/>
  <c r="W468" i="18"/>
  <c r="V506" i="18"/>
  <c r="V507" i="18"/>
  <c r="W472" i="18"/>
  <c r="W473" i="18"/>
  <c r="W474" i="18"/>
  <c r="W475" i="18"/>
  <c r="W467" i="18"/>
  <c r="W466" i="18"/>
  <c r="P24" i="18"/>
  <c r="N24" i="18" s="1"/>
  <c r="N48" i="18"/>
  <c r="W386" i="18"/>
  <c r="G187" i="63"/>
  <c r="E187" i="63"/>
  <c r="I187" i="63"/>
  <c r="K187" i="63" s="1"/>
  <c r="G186" i="63"/>
  <c r="E186" i="63"/>
  <c r="I186" i="63"/>
  <c r="K186" i="63" s="1"/>
  <c r="I184" i="63"/>
  <c r="K184" i="63" s="1"/>
  <c r="K95" i="18"/>
  <c r="K98" i="18" s="1"/>
  <c r="E184" i="63" l="1"/>
  <c r="G184" i="63"/>
  <c r="E185" i="63"/>
  <c r="G185" i="63"/>
  <c r="I185" i="63"/>
  <c r="K185" i="63" s="1"/>
  <c r="E190" i="63"/>
  <c r="G190" i="63"/>
  <c r="I190" i="63"/>
  <c r="G181" i="63" l="1"/>
  <c r="I183" i="63"/>
  <c r="K183" i="63" s="1"/>
  <c r="G183" i="63"/>
  <c r="E183" i="63"/>
  <c r="I182" i="63" l="1"/>
  <c r="K182" i="63" s="1"/>
  <c r="I181" i="63"/>
  <c r="K181" i="63" s="1"/>
  <c r="S107" i="18" l="1"/>
  <c r="N43" i="18"/>
  <c r="F162" i="63"/>
  <c r="C162" i="63"/>
  <c r="I161" i="63"/>
  <c r="H161" i="63"/>
  <c r="K161" i="63" s="1"/>
  <c r="G161" i="63"/>
  <c r="I160" i="63"/>
  <c r="H160" i="63"/>
  <c r="G160" i="63"/>
  <c r="I159" i="63"/>
  <c r="H159" i="63"/>
  <c r="K159" i="63" s="1"/>
  <c r="G159" i="63"/>
  <c r="I158" i="63"/>
  <c r="H158" i="63"/>
  <c r="G158" i="63"/>
  <c r="I157" i="63"/>
  <c r="H157" i="63"/>
  <c r="G157" i="63"/>
  <c r="I156" i="63"/>
  <c r="H156" i="63"/>
  <c r="G156" i="63"/>
  <c r="J158" i="18"/>
  <c r="G182" i="63"/>
  <c r="E182" i="63"/>
  <c r="K160" i="63" l="1"/>
  <c r="G162" i="63"/>
  <c r="H162" i="63"/>
  <c r="K162" i="63" s="1"/>
  <c r="I162" i="63"/>
  <c r="K157" i="63"/>
  <c r="K158" i="63"/>
  <c r="D2" i="60"/>
  <c r="G8" i="60"/>
  <c r="G6" i="60"/>
  <c r="H3" i="60"/>
  <c r="H4" i="60"/>
  <c r="H5" i="60"/>
  <c r="H2" i="60"/>
  <c r="F2" i="60"/>
  <c r="L162" i="63" l="1"/>
  <c r="K158" i="18"/>
  <c r="E181" i="63"/>
  <c r="C192" i="63"/>
  <c r="E192" i="63" s="1"/>
  <c r="G163" i="18"/>
  <c r="F187" i="63" l="1"/>
  <c r="H187" i="63" s="1"/>
  <c r="F186" i="63"/>
  <c r="H186" i="63" s="1"/>
  <c r="F184" i="63"/>
  <c r="H184" i="63" s="1"/>
  <c r="F185" i="63"/>
  <c r="H185" i="63" s="1"/>
  <c r="F190" i="63"/>
  <c r="H190" i="63" s="1"/>
  <c r="F183" i="63"/>
  <c r="H183" i="63" s="1"/>
  <c r="F181" i="63"/>
  <c r="H181" i="63" s="1"/>
  <c r="F192" i="63"/>
  <c r="F182" i="63"/>
  <c r="H182" i="63" s="1"/>
  <c r="W465" i="18"/>
  <c r="N49" i="18"/>
  <c r="F177" i="63"/>
  <c r="C177" i="63"/>
  <c r="G172" i="63"/>
  <c r="H172" i="63"/>
  <c r="I172" i="63"/>
  <c r="G173" i="63"/>
  <c r="H173" i="63"/>
  <c r="I173" i="63"/>
  <c r="T3" i="64"/>
  <c r="T4" i="64"/>
  <c r="T5" i="64"/>
  <c r="T6" i="64"/>
  <c r="T7" i="64"/>
  <c r="T2" i="64"/>
  <c r="I177" i="63" l="1"/>
  <c r="F154" i="63"/>
  <c r="C154" i="63"/>
  <c r="G149" i="63"/>
  <c r="G150" i="63"/>
  <c r="G151" i="63"/>
  <c r="G152" i="63"/>
  <c r="G153" i="63"/>
  <c r="G148" i="63"/>
  <c r="I153" i="63"/>
  <c r="H153" i="63"/>
  <c r="I152" i="63"/>
  <c r="H152" i="63"/>
  <c r="I151" i="63"/>
  <c r="H151" i="63"/>
  <c r="K151" i="63" s="1"/>
  <c r="I150" i="63"/>
  <c r="H150" i="63"/>
  <c r="I149" i="63"/>
  <c r="H149" i="63"/>
  <c r="I148" i="63"/>
  <c r="H148" i="63"/>
  <c r="H324" i="18"/>
  <c r="W464" i="18"/>
  <c r="W463" i="18"/>
  <c r="AL263" i="18"/>
  <c r="AL262" i="18" s="1"/>
  <c r="AL261" i="18" s="1"/>
  <c r="AL248" i="18" s="1"/>
  <c r="AL247" i="18" s="1"/>
  <c r="AL246" i="18" s="1"/>
  <c r="AL245" i="18" s="1"/>
  <c r="AL244" i="18" s="1"/>
  <c r="AL243" i="18" s="1"/>
  <c r="AL242" i="18" s="1"/>
  <c r="H123" i="63"/>
  <c r="K152" i="63" l="1"/>
  <c r="K153" i="63"/>
  <c r="K150" i="63"/>
  <c r="K149" i="63"/>
  <c r="W462" i="18"/>
  <c r="W461" i="18" l="1"/>
  <c r="G114" i="63"/>
  <c r="H114" i="63"/>
  <c r="I114" i="63"/>
  <c r="G115" i="63"/>
  <c r="H115" i="63"/>
  <c r="I115" i="63"/>
  <c r="G116" i="63"/>
  <c r="H116" i="63"/>
  <c r="I116" i="63"/>
  <c r="G141" i="63"/>
  <c r="H141" i="63"/>
  <c r="K141" i="63" s="1"/>
  <c r="I141" i="63"/>
  <c r="G142" i="63"/>
  <c r="H142" i="63"/>
  <c r="I142" i="63"/>
  <c r="G143" i="63"/>
  <c r="H143" i="63"/>
  <c r="I143" i="63"/>
  <c r="G144" i="63"/>
  <c r="H144" i="63"/>
  <c r="I144" i="63"/>
  <c r="F131" i="63"/>
  <c r="F169" i="63" s="1"/>
  <c r="K116" i="63" l="1"/>
  <c r="K115" i="63"/>
  <c r="K143" i="63"/>
  <c r="K142" i="63"/>
  <c r="F94" i="63"/>
  <c r="K144" i="63"/>
  <c r="D121" i="63"/>
  <c r="F104" i="63"/>
  <c r="F166" i="63"/>
  <c r="F98" i="63"/>
  <c r="F168" i="63"/>
  <c r="F170" i="63"/>
  <c r="F112" i="63"/>
  <c r="F105" i="63"/>
  <c r="F167" i="63"/>
  <c r="C121" i="63"/>
  <c r="F106" i="63"/>
  <c r="C122" i="63"/>
  <c r="F107" i="63"/>
  <c r="F95" i="63"/>
  <c r="F108" i="63"/>
  <c r="F96" i="63"/>
  <c r="F109" i="63"/>
  <c r="F97" i="63"/>
  <c r="F113" i="63"/>
  <c r="F110" i="63"/>
  <c r="F103" i="63"/>
  <c r="F111" i="63"/>
  <c r="V512" i="18"/>
  <c r="V511" i="18"/>
  <c r="V508" i="18"/>
  <c r="V510" i="18"/>
  <c r="V517" i="18"/>
  <c r="V509" i="18"/>
  <c r="X501" i="18" l="1"/>
  <c r="R299" i="18"/>
  <c r="W458" i="18" l="1"/>
  <c r="W459" i="18"/>
  <c r="W460" i="18"/>
  <c r="P27"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W454" i="18"/>
  <c r="G154" i="63" l="1"/>
  <c r="H154" i="63"/>
  <c r="I154" i="63"/>
  <c r="K140" i="63"/>
  <c r="K139" i="63"/>
  <c r="I145" i="63"/>
  <c r="G145" i="63"/>
  <c r="H145" i="63"/>
  <c r="K145" i="63" s="1"/>
  <c r="G107" i="63"/>
  <c r="H107" i="63"/>
  <c r="I107" i="63"/>
  <c r="G108" i="63"/>
  <c r="H108" i="63"/>
  <c r="I108" i="63"/>
  <c r="G117" i="63"/>
  <c r="H117" i="63"/>
  <c r="I117" i="63"/>
  <c r="W453" i="18"/>
  <c r="G105" i="63"/>
  <c r="H105" i="63"/>
  <c r="I105" i="63"/>
  <c r="G106" i="63"/>
  <c r="H106" i="63"/>
  <c r="I106" i="63"/>
  <c r="K154" i="63" l="1"/>
  <c r="L154" i="63" s="1"/>
  <c r="K117" i="63"/>
  <c r="K108" i="63"/>
  <c r="K109" i="63"/>
  <c r="L145" i="63"/>
  <c r="K106" i="63"/>
  <c r="K107" i="63"/>
  <c r="W452" i="18"/>
  <c r="U476" i="18"/>
  <c r="V156" i="18" s="1"/>
  <c r="F127" i="63"/>
  <c r="C127" i="63"/>
  <c r="I121" i="63"/>
  <c r="H121" i="63"/>
  <c r="K122" i="63" s="1"/>
  <c r="G121" i="63"/>
  <c r="T150" i="18" l="1"/>
  <c r="T152" i="18"/>
  <c r="H127" i="63"/>
  <c r="K127" i="63" s="1"/>
  <c r="G127" i="63"/>
  <c r="I127" i="63"/>
  <c r="W451" i="18"/>
  <c r="G104" i="63"/>
  <c r="L127" i="63" l="1"/>
  <c r="I171" i="63"/>
  <c r="P29" i="18" l="1"/>
  <c r="W450" i="18"/>
  <c r="G171" i="63" l="1"/>
  <c r="H171" i="63"/>
  <c r="W449" i="18" l="1"/>
  <c r="G98" i="63"/>
  <c r="H98" i="63"/>
  <c r="I98" i="63"/>
  <c r="K133" i="63" l="1"/>
  <c r="H87" i="63" l="1"/>
  <c r="P134" i="60" l="1"/>
  <c r="W446" i="18" l="1"/>
  <c r="W445" i="18" l="1"/>
  <c r="H104" i="63" l="1"/>
  <c r="K105" i="63" s="1"/>
  <c r="I104" i="63"/>
  <c r="F28" i="60" l="1"/>
  <c r="G28" i="60" s="1"/>
  <c r="G168" i="63" l="1"/>
  <c r="H168" i="63"/>
  <c r="I168" i="63"/>
  <c r="G169" i="63"/>
  <c r="H169" i="63"/>
  <c r="I169" i="63"/>
  <c r="G170" i="63"/>
  <c r="H170" i="63"/>
  <c r="I170" i="63"/>
  <c r="G175" i="63"/>
  <c r="H175" i="63"/>
  <c r="I175" i="63"/>
  <c r="G176" i="63"/>
  <c r="H176" i="63"/>
  <c r="I176" i="63"/>
  <c r="G167" i="63"/>
  <c r="H167" i="63"/>
  <c r="I167" i="63"/>
  <c r="G166" i="63"/>
  <c r="I166" i="63"/>
  <c r="H166" i="63"/>
  <c r="W444" i="18"/>
  <c r="K176" i="63" l="1"/>
  <c r="K170" i="63"/>
  <c r="K168" i="63"/>
  <c r="K175" i="63"/>
  <c r="K169" i="63"/>
  <c r="K167" i="63"/>
  <c r="H177" i="63"/>
  <c r="K177" i="63" s="1"/>
  <c r="G177" i="63"/>
  <c r="F118" i="63"/>
  <c r="C118" i="63"/>
  <c r="H118" i="63" l="1"/>
  <c r="K118" i="63" s="1"/>
  <c r="G118" i="63"/>
  <c r="I118" i="63"/>
  <c r="L177" i="63"/>
  <c r="W443" i="18"/>
  <c r="P42"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68" i="18"/>
  <c r="O472" i="52"/>
  <c r="J472" i="52"/>
  <c r="AM468" i="18" l="1"/>
  <c r="AL467" i="18"/>
  <c r="AM467" i="18" l="1"/>
  <c r="AL460" i="18"/>
  <c r="R510" i="18"/>
  <c r="W435" i="18"/>
  <c r="W434" i="18"/>
  <c r="W433" i="18"/>
  <c r="W432" i="18"/>
  <c r="W431"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5" i="18"/>
  <c r="W426" i="18"/>
  <c r="W427" i="18"/>
  <c r="W428" i="18"/>
  <c r="W429" i="18"/>
  <c r="W430" i="18"/>
  <c r="AL451" i="18" l="1"/>
  <c r="AM451" i="18" s="1"/>
  <c r="AM452" i="18"/>
  <c r="O454" i="52"/>
  <c r="J454" i="52"/>
  <c r="W424" i="18" l="1"/>
  <c r="G103" i="63"/>
  <c r="H103" i="63"/>
  <c r="K104" i="63" s="1"/>
  <c r="I103" i="63"/>
  <c r="L118" i="63" l="1"/>
  <c r="G123" i="18" l="1"/>
  <c r="J123" i="18" s="1"/>
  <c r="G122" i="18"/>
  <c r="J122" i="18" s="1"/>
  <c r="I126" i="18" l="1"/>
  <c r="W423" i="18"/>
  <c r="W422" i="18"/>
  <c r="W421" i="18" l="1"/>
  <c r="W420" i="18"/>
  <c r="W419" i="18" l="1"/>
  <c r="I133"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I134" i="63"/>
  <c r="W404" i="18" l="1"/>
  <c r="W403" i="18" l="1"/>
  <c r="W402" i="18" l="1"/>
  <c r="W401" i="18" l="1"/>
  <c r="I170" i="18" l="1"/>
  <c r="G170" i="18"/>
  <c r="W397" i="18"/>
  <c r="W400" i="18"/>
  <c r="W399" i="18" l="1"/>
  <c r="W398" i="18" l="1"/>
  <c r="W396" i="18" l="1"/>
  <c r="W395" i="18" l="1"/>
  <c r="W393" i="18" l="1"/>
  <c r="W392" i="18"/>
  <c r="W391" i="18"/>
  <c r="W388" i="18"/>
  <c r="W389" i="18"/>
  <c r="W390" i="18"/>
  <c r="W387" i="18"/>
  <c r="W394" i="18"/>
  <c r="W385" i="18" l="1"/>
  <c r="W384" i="18" l="1"/>
  <c r="W383" i="18" l="1"/>
  <c r="W382" i="18" l="1"/>
  <c r="W381" i="18" l="1"/>
  <c r="W380" i="18" l="1"/>
  <c r="W379"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K134" i="63" l="1"/>
  <c r="W367" i="18" l="1"/>
  <c r="V495" i="18"/>
  <c r="S235" i="18" l="1"/>
  <c r="I132" i="63" l="1"/>
  <c r="I92" i="63" l="1"/>
  <c r="W366" i="18" l="1"/>
  <c r="AM262" i="18" l="1"/>
  <c r="AM263" i="18"/>
  <c r="P28" i="18"/>
  <c r="N28" i="18" s="1"/>
  <c r="AM247" i="18" l="1"/>
  <c r="AM246" i="18" l="1"/>
  <c r="AM245" i="18" l="1"/>
  <c r="AM244" i="18" l="1"/>
  <c r="G92" i="63"/>
  <c r="Q390" i="52"/>
  <c r="O390" i="52"/>
  <c r="J390" i="52"/>
  <c r="W365" i="18"/>
  <c r="L92" i="63" l="1"/>
  <c r="AM243" i="18"/>
  <c r="W364" i="18"/>
  <c r="W363"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AL224" i="18" l="1"/>
  <c r="AM225" i="18"/>
  <c r="AL223" i="18" l="1"/>
  <c r="AM224" i="18"/>
  <c r="W343" i="18"/>
  <c r="AL222" i="18" l="1"/>
  <c r="AM223" i="18"/>
  <c r="O362" i="52"/>
  <c r="J362" i="52"/>
  <c r="AL221" i="18" l="1"/>
  <c r="AM222" i="18"/>
  <c r="AL220" i="18" l="1"/>
  <c r="AM221" i="18"/>
  <c r="AL450" i="18"/>
  <c r="AL219" i="18" l="1"/>
  <c r="AM220" i="18"/>
  <c r="AL449" i="18"/>
  <c r="AM450" i="18"/>
  <c r="M189" i="18"/>
  <c r="L189" i="18"/>
  <c r="AL218" i="18" l="1"/>
  <c r="AM219" i="18"/>
  <c r="AM449" i="18"/>
  <c r="AL448" i="18"/>
  <c r="M359" i="52"/>
  <c r="M360" i="52" s="1"/>
  <c r="W342" i="18"/>
  <c r="AL217" i="18" l="1"/>
  <c r="AM218" i="18"/>
  <c r="AL447" i="18"/>
  <c r="AM448" i="18"/>
  <c r="W341" i="18"/>
  <c r="AL216" i="18" l="1"/>
  <c r="AM217" i="18"/>
  <c r="AM447" i="18"/>
  <c r="AL446" i="18"/>
  <c r="W340" i="18"/>
  <c r="AL215" i="18" l="1"/>
  <c r="AM216" i="18"/>
  <c r="AL445" i="18"/>
  <c r="AM446" i="18"/>
  <c r="M188" i="18"/>
  <c r="L188" i="18"/>
  <c r="W339" i="18"/>
  <c r="AL214" i="18" l="1"/>
  <c r="AM214" i="18" s="1"/>
  <c r="AM215" i="18"/>
  <c r="AM445" i="18"/>
  <c r="AL444" i="18"/>
  <c r="W338" i="18"/>
  <c r="AL443" i="18" l="1"/>
  <c r="AM444" i="18"/>
  <c r="W337" i="18"/>
  <c r="AM443" i="18" l="1"/>
  <c r="AL442" i="18"/>
  <c r="AL441" i="18" l="1"/>
  <c r="AM442" i="18"/>
  <c r="M187" i="18"/>
  <c r="L187" i="18"/>
  <c r="AM441" i="18" l="1"/>
  <c r="AL440" i="18"/>
  <c r="M186" i="18"/>
  <c r="L186" i="18"/>
  <c r="AL439" i="18" l="1"/>
  <c r="AM440" i="18"/>
  <c r="L183" i="18"/>
  <c r="M183" i="18"/>
  <c r="L184" i="18"/>
  <c r="M184" i="18"/>
  <c r="L185" i="18"/>
  <c r="M185" i="18"/>
  <c r="L192" i="18"/>
  <c r="M192" i="18"/>
  <c r="AM439" i="18" l="1"/>
  <c r="AL438" i="18"/>
  <c r="O348" i="52"/>
  <c r="G146" i="18"/>
  <c r="J146" i="18" s="1"/>
  <c r="W336" i="18"/>
  <c r="AL437" i="18" l="1"/>
  <c r="AM438" i="18"/>
  <c r="G106" i="18"/>
  <c r="G105" i="18"/>
  <c r="J131" i="18"/>
  <c r="G130" i="18"/>
  <c r="J130" i="18" s="1"/>
  <c r="W335" i="18"/>
  <c r="J347" i="52"/>
  <c r="AM437" i="18" l="1"/>
  <c r="AL436" i="18"/>
  <c r="I133" i="18"/>
  <c r="L182" i="18"/>
  <c r="M182" i="18"/>
  <c r="M181" i="18"/>
  <c r="L181" i="18"/>
  <c r="W334" i="18"/>
  <c r="AM436" i="18" l="1"/>
  <c r="AL435" i="18"/>
  <c r="W333" i="18"/>
  <c r="I101" i="63" l="1"/>
  <c r="G101" i="63"/>
  <c r="AM435" i="18"/>
  <c r="AL434" i="18"/>
  <c r="H101" i="63"/>
  <c r="K101" i="63" s="1"/>
  <c r="L101" i="63" l="1"/>
  <c r="AL433" i="18"/>
  <c r="AM434" i="18"/>
  <c r="AL432" i="18" l="1"/>
  <c r="AM433" i="18"/>
  <c r="W332" i="18" l="1"/>
  <c r="W331" i="18" l="1"/>
  <c r="W330" i="18" l="1"/>
  <c r="W329" i="18" l="1"/>
  <c r="N348" i="52"/>
  <c r="W32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5" i="18" l="1"/>
  <c r="M106"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6" i="18"/>
  <c r="D418" i="15" l="1"/>
  <c r="F419" i="15"/>
  <c r="F418" i="15" l="1"/>
  <c r="D417" i="15"/>
  <c r="I77" i="63"/>
  <c r="W325" i="18"/>
  <c r="O305" i="52"/>
  <c r="J305" i="52"/>
  <c r="D416" i="15" l="1"/>
  <c r="F417" i="15"/>
  <c r="D415" i="15" l="1"/>
  <c r="F416" i="15"/>
  <c r="W324" i="18"/>
  <c r="W323" i="18"/>
  <c r="O302" i="52"/>
  <c r="F415" i="15" l="1"/>
  <c r="D414" i="15"/>
  <c r="G153" i="18"/>
  <c r="G154" i="18" s="1"/>
  <c r="J154" i="18" s="1"/>
  <c r="D413" i="15" l="1"/>
  <c r="F414" i="15"/>
  <c r="D412" i="15" l="1"/>
  <c r="F413" i="15"/>
  <c r="W322" i="18"/>
  <c r="O301" i="52"/>
  <c r="J153" i="18"/>
  <c r="J156" i="18" l="1"/>
  <c r="L45" i="18" s="1"/>
  <c r="F412" i="15"/>
  <c r="D411" i="15"/>
  <c r="I156"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7"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J165" i="18"/>
  <c r="N44"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3" i="18"/>
  <c r="G162" i="18"/>
  <c r="W289" i="18"/>
  <c r="J162" i="18" l="1"/>
  <c r="I166" i="18" s="1"/>
  <c r="F348" i="15"/>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2" i="18"/>
  <c r="N50"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6" i="18"/>
  <c r="G171" i="18" s="1"/>
  <c r="W264" i="18"/>
  <c r="O177" i="52"/>
  <c r="J177" i="52"/>
  <c r="M105" i="18" l="1"/>
  <c r="G172"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G145" i="18"/>
  <c r="J145" i="18" s="1"/>
  <c r="J147" i="18" s="1"/>
  <c r="I147" i="18" s="1"/>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G138" i="18"/>
  <c r="J138" i="18" s="1"/>
  <c r="J141" i="18" s="1"/>
  <c r="I141" i="18" s="1"/>
  <c r="E276" i="15"/>
  <c r="E277" i="15"/>
  <c r="E278" i="15"/>
  <c r="E279" i="15"/>
  <c r="E280" i="15"/>
  <c r="AL377" i="18" l="1"/>
  <c r="AM378" i="18"/>
  <c r="D300" i="15"/>
  <c r="F300" i="15" s="1"/>
  <c r="W228" i="18"/>
  <c r="AL376" i="18" l="1"/>
  <c r="AM377" i="18"/>
  <c r="D299" i="15"/>
  <c r="F299" i="15" s="1"/>
  <c r="E6" i="60"/>
  <c r="M6" i="60" s="1"/>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1"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2" i="18"/>
  <c r="L107" i="18" l="1"/>
  <c r="N107" i="18" s="1"/>
  <c r="L109" i="18"/>
  <c r="N109" i="18" s="1"/>
  <c r="L108" i="18"/>
  <c r="N108" i="18" s="1"/>
  <c r="M112" i="18"/>
  <c r="AM325" i="18"/>
  <c r="AL324" i="18"/>
  <c r="L104" i="18"/>
  <c r="W196" i="18"/>
  <c r="W195" i="18"/>
  <c r="N24" i="52"/>
  <c r="N26" i="52"/>
  <c r="N25" i="52"/>
  <c r="AL323" i="18" l="1"/>
  <c r="AM324"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4" i="18"/>
  <c r="F104"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5"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1" i="18"/>
  <c r="AM120" i="18" l="1"/>
  <c r="AL119" i="18"/>
  <c r="AM119" i="18" l="1"/>
  <c r="AL118" i="18"/>
  <c r="S80" i="18"/>
  <c r="S81" i="18" s="1"/>
  <c r="S82" i="18" s="1"/>
  <c r="R171" i="18"/>
  <c r="R169" i="18"/>
  <c r="D57" i="51"/>
  <c r="AL117" i="18" l="1"/>
  <c r="AM118" i="18"/>
  <c r="S83" i="18"/>
  <c r="S84" i="18" s="1"/>
  <c r="AM117" i="18" l="1"/>
  <c r="AL116" i="18"/>
  <c r="S85" i="18"/>
  <c r="S86" i="18" s="1"/>
  <c r="N29"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5"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71" i="18" l="1"/>
  <c r="I172" i="18" s="1"/>
  <c r="M104"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6" i="18" s="1"/>
  <c r="S67" i="18" s="1"/>
  <c r="S68" i="18" s="1"/>
  <c r="S69" i="18" s="1"/>
  <c r="S70" i="18" s="1"/>
  <c r="S60" i="18"/>
  <c r="G306" i="20"/>
  <c r="J307" i="20"/>
  <c r="I307" i="20"/>
  <c r="K307" i="20"/>
  <c r="AL75" i="18"/>
  <c r="AM76" i="18"/>
  <c r="N104" i="18" l="1"/>
  <c r="N112" i="18" s="1"/>
  <c r="R166" i="18"/>
  <c r="R182" i="18" s="1"/>
  <c r="AJ270" i="18"/>
  <c r="AJ271" i="18" s="1"/>
  <c r="G305" i="20"/>
  <c r="I306" i="20"/>
  <c r="K306" i="20"/>
  <c r="J306" i="20"/>
  <c r="AL74" i="18"/>
  <c r="AM75" i="18"/>
  <c r="T479" i="18" l="1"/>
  <c r="V482" i="18" s="1"/>
  <c r="U492" i="18"/>
  <c r="V492" i="18" s="1"/>
  <c r="G304" i="20"/>
  <c r="I305" i="20"/>
  <c r="K305" i="20"/>
  <c r="J305" i="20"/>
  <c r="AL73" i="18"/>
  <c r="AM74" i="18"/>
  <c r="R102" i="18"/>
  <c r="V69" i="18" l="1"/>
  <c r="W69" i="18" s="1"/>
  <c r="V70" i="18"/>
  <c r="V66" i="18"/>
  <c r="V68" i="18"/>
  <c r="V67" i="18"/>
  <c r="V65" i="18"/>
  <c r="X65" i="18" s="1"/>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X69" i="18" l="1"/>
  <c r="W70" i="18"/>
  <c r="X70" i="18"/>
  <c r="W67" i="18"/>
  <c r="X67" i="18"/>
  <c r="W68" i="18"/>
  <c r="X68" i="18"/>
  <c r="W66" i="18"/>
  <c r="X66" i="18"/>
  <c r="W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2" i="18"/>
  <c r="W150" i="18"/>
  <c r="X81" i="18"/>
  <c r="W81" i="18"/>
  <c r="W22" i="18"/>
  <c r="X22" i="18"/>
  <c r="W20" i="18"/>
  <c r="X20" i="18"/>
  <c r="W106" i="18"/>
  <c r="X106" i="18"/>
  <c r="W21" i="18"/>
  <c r="X21" i="18"/>
  <c r="AL71" i="18"/>
  <c r="AM72" i="18"/>
  <c r="W158" i="18" l="1"/>
  <c r="W159" i="18" s="1"/>
  <c r="N59" i="18"/>
  <c r="G173" i="18"/>
  <c r="I173" i="18"/>
  <c r="I174" i="18"/>
  <c r="G174" i="18"/>
  <c r="L21"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X133" i="18"/>
  <c r="G12" i="20"/>
  <c r="I13" i="20"/>
  <c r="J13" i="20"/>
  <c r="K13" i="20"/>
  <c r="F7" i="15"/>
  <c r="V134" i="18" l="1"/>
  <c r="W134" i="18" s="1"/>
  <c r="S135" i="18"/>
  <c r="G11" i="20"/>
  <c r="I12" i="20"/>
  <c r="J12" i="20"/>
  <c r="K12" i="20"/>
  <c r="F6" i="15"/>
  <c r="X134" i="18" l="1"/>
  <c r="V135" i="18"/>
  <c r="X135" i="18" s="1"/>
  <c r="S136" i="18"/>
  <c r="V136" i="18" s="1"/>
  <c r="G10" i="20"/>
  <c r="J11" i="20"/>
  <c r="K11" i="20"/>
  <c r="I11" i="20"/>
  <c r="F5" i="15"/>
  <c r="W135" i="18" l="1"/>
  <c r="W136" i="18"/>
  <c r="X136" i="18"/>
  <c r="G9" i="20"/>
  <c r="K10" i="20"/>
  <c r="I10" i="20"/>
  <c r="J10" i="20"/>
  <c r="F4" i="15"/>
  <c r="V129" i="18" l="1"/>
  <c r="X129" i="18" s="1"/>
  <c r="G8" i="20"/>
  <c r="J9" i="20"/>
  <c r="K9" i="20"/>
  <c r="I9" i="20"/>
  <c r="F2" i="15"/>
  <c r="F3" i="15"/>
  <c r="W129" i="18" l="1"/>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<sst xmlns="http://schemas.openxmlformats.org/spreadsheetml/2006/main" count="15033" uniqueCount="5985">
  <si>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</si>
  <si>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</si>
  <si>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</si>
  <si>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</si>
  <si>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</si>
  <si>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</si>
  <si>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</si>
  <si>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</si>
  <si>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</si>
  <si>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</si>
  <si>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</si>
  <si>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</si>
  <si>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</si>
  <si>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</si>
  <si>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</si>
  <si>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</si>
  <si>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</si>
  <si>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</si>
  <si>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</si>
  <si>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</si>
  <si>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</si>
  <si>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</si>
  <si>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</si>
  <si>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</si>
  <si>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</si>
  <si>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</si>
  <si>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</si>
  <si>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</si>
  <si>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</si>
  <si>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</si>
  <si>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</si>
  <si>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</si>
  <si>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</si>
  <si>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</si>
  <si>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</si>
  <si>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</si>
  <si>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</si>
  <si>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</si>
  <si>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</si>
  <si>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</si>
  <si>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</si>
  <si>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</si>
  <si>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</si>
  <si>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</si>
  <si>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</si>
  <si>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</si>
  <si>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</si>
  <si>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</si>
  <si>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</si>
  <si>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</si>
  <si>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</si>
  <si>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</si>
  <si>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</si>
  <si>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</si>
  <si>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</si>
  <si>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</si>
  <si>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</si>
  <si>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</si>
  <si>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</si>
  <si>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</si>
  <si>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</si>
  <si>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</si>
  <si>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</si>
  <si>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</si>
  <si>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</si>
  <si>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</si>
  <si>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</si>
  <si>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</si>
  <si>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</si>
  <si>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</si>
  <si>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</si>
  <si>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</si>
  <si>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</si>
  <si>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</si>
  <si>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</si>
  <si>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</si>
  <si>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</si>
  <si>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</si>
  <si>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</si>
  <si>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</si>
  <si>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</si>
  <si>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</si>
  <si>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</si>
  <si>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</si>
  <si>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</si>
  <si>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</si>
  <si>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</si>
  <si>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</si>
  <si>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</si>
  <si>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</si>
  <si>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</si>
  <si>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</si>
  <si>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</si>
  <si>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</si>
  <si>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</si>
  <si>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</si>
  <si>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</si>
  <si>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</si>
  <si>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</si>
  <si>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</si>
  <si>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</si>
  <si>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</si>
  <si>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</si>
  <si>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</si>
  <si>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</si>
  <si>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</si>
  <si>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</si>
  <si>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</si>
  <si>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</si>
  <si>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</si>
  <si>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</si>
  <si>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</si>
  <si>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</si>
  <si>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</si>
  <si>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</si>
  <si>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</si>
  <si>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</si>
  <si>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</si>
  <si>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</si>
  <si>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</si>
  <si>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</si>
  <si>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</si>
  <si>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</si>
  <si>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</si>
  <si>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</si>
  <si>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</si>
  <si>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</si>
  <si>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</si>
  <si>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</si>
  <si>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</si>
  <si>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</si>
  <si>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</si>
  <si>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</si>
  <si>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</si>
  <si>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</si>
  <si>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</si>
  <si>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</si>
  <si>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</si>
  <si>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</si>
  <si>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</si>
  <si>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</si>
  <si>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</si>
  <si>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</si>
  <si>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</si>
  <si>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</si>
  <si>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</si>
  <si>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</si>
  <si>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</si>
  <si>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</si>
  <si>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</si>
  <si>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</si>
  <si>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</si>
  <si>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</si>
  <si>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</si>
  <si>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</si>
  <si>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</si>
  <si>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</si>
  <si>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</si>
  <si>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</si>
  <si>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</si>
  <si>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</si>
  <si>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</si>
  <si>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</si>
  <si>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</si>
  <si>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</si>
  <si>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</si>
  <si>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</si>
  <si>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</si>
  <si>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</si>
  <si>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</si>
  <si>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</si>
  <si>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</si>
  <si>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</si>
  <si>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</si>
  <si>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</si>
  <si>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</si>
  <si>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</si>
  <si>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</si>
  <si>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</si>
  <si>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</si>
  <si>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</si>
  <si>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</si>
  <si>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</si>
  <si>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</si>
  <si>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</si>
  <si>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</si>
  <si>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</si>
  <si>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</si>
  <si>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</si>
  <si>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</si>
  <si>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</si>
  <si>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</si>
  <si>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</si>
  <si>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</si>
  <si>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</si>
  <si>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</si>
  <si>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</si>
  <si>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</si>
  <si>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</si>
  <si>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</si>
  <si>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</si>
  <si>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</si>
  <si>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</si>
  <si>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</si>
  <si>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</si>
  <si>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</si>
  <si>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</si>
  <si>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</si>
  <si>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</si>
  <si>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</si>
  <si>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</si>
  <si>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</si>
  <si>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</si>
  <si>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</si>
  <si>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</si>
  <si>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</si>
  <si>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</si>
  <si>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</si>
  <si>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</si>
  <si>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</si>
  <si>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</si>
  <si>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</si>
  <si>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</si>
  <si>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</si>
  <si>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</si>
  <si>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</si>
  <si>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</si>
  <si>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</si>
  <si>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</si>
  <si>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</si>
  <si>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</si>
  <si>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</si>
  <si>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</si>
  <si>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</si>
  <si>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</si>
  <si>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</si>
  <si>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</si>
  <si>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</si>
  <si>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</si>
  <si>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</si>
  <si>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</si>
  <si>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</si>
  <si>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</si>
  <si>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</si>
  <si>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</si>
  <si>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</si>
  <si>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</si>
  <si>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</si>
  <si>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</si>
  <si>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</si>
  <si>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</si>
  <si>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</si>
  <si>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</si>
  <si>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</si>
  <si>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</si>
  <si>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</si>
  <si>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</si>
  <si>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</si>
  <si>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</si>
  <si>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</si>
  <si>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</si>
  <si>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</si>
  <si>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</si>
  <si>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</si>
  <si>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</si>
  <si>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</si>
  <si>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</si>
  <si>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</si>
  <si>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</si>
  <si>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</si>
  <si>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</si>
  <si>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</si>
  <si>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</si>
  <si>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</si>
  <si>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</si>
  <si>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</si>
  <si>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</si>
  <si>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</si>
  <si>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</si>
  <si>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</si>
  <si>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</si>
  <si>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</si>
  <si>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</si>
  <si>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</si>
  <si>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</si>
  <si>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</si>
  <si>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</si>
  <si>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</si>
  <si>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</si>
  <si>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</si>
  <si>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</si>
  <si>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</si>
  <si>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</si>
  <si>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</si>
  <si>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</si>
  <si>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</si>
  <si>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</si>
  <si>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</si>
  <si>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</si>
  <si>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</si>
  <si>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</si>
  <si>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</si>
  <si>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</si>
  <si>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</si>
  <si>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</si>
  <si>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</si>
  <si>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</si>
  <si>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</si>
  <si>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</si>
  <si>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</si>
  <si>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</si>
  <si>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</si>
  <si>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</si>
  <si>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</si>
  <si>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</si>
  <si>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</si>
  <si>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</si>
  <si>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</si>
  <si>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</si>
  <si>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</si>
  <si>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</si>
  <si>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</si>
  <si>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</si>
  <si>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</si>
  <si>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</si>
  <si>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</si>
  <si>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</si>
  <si>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</si>
  <si>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</si>
  <si>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</si>
  <si>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</si>
  <si>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</si>
  <si>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</si>
  <si>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</si>
  <si>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</si>
  <si>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</si>
  <si>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</si>
  <si>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</si>
  <si>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</si>
  <si>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</si>
  <si>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</si>
  <si>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</si>
  <si>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</si>
  <si>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</si>
  <si>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</si>
  <si>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</si>
  <si>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</si>
  <si>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</si>
  <si>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</si>
  <si>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</si>
  <si>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</si>
  <si>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</si>
  <si>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</si>
  <si>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</si>
  <si>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</si>
  <si>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</si>
  <si>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</si>
  <si>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</si>
  <si>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</si>
  <si>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</si>
  <si>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</si>
  <si>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</si>
  <si>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</si>
  <si>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</si>
  <si>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</si>
  <si>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</si>
  <si>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</si>
  <si>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</si>
  <si>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</si>
  <si>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</si>
  <si>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</si>
  <si>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</si>
  <si>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</si>
  <si>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</si>
  <si>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</si>
  <si>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</si>
  <si>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</si>
  <si>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</si>
  <si>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</si>
  <si>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</si>
  <si>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</si>
  <si>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</si>
  <si>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</si>
  <si>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</si>
  <si>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</si>
  <si>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</si>
  <si>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</si>
  <si>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</si>
  <si>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</si>
  <si>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</si>
  <si>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</si>
  <si>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</si>
  <si>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</si>
  <si>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</si>
  <si>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</si>
  <si>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</si>
  <si>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</si>
  <si>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</si>
  <si>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</si>
  <si>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</si>
  <si>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</si>
  <si>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</si>
  <si>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</si>
  <si>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</si>
  <si>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</si>
  <si>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</si>
  <si>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</si>
  <si>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</si>
  <si>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</si>
  <si>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</si>
  <si>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</si>
  <si>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</si>
  <si>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</si>
  <si>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</si>
  <si>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</si>
  <si>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</si>
  <si>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</si>
  <si>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</si>
  <si>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</si>
  <si>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</si>
  <si>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</si>
  <si>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</si>
  <si>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</si>
  <si>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</si>
  <si>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</si>
  <si>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</si>
  <si>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</si>
  <si>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</si>
  <si>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</si>
  <si>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</si>
  <si>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</si>
  <si>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</si>
  <si>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</si>
  <si>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</si>
  <si>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</si>
  <si>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</si>
  <si>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</si>
  <si>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</si>
  <si>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</si>
  <si>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</si>
  <si>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</si>
  <si>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</si>
  <si>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</si>
  <si>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</si>
  <si>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</si>
  <si>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</si>
  <si>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</si>
  <si>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</si>
  <si>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</si>
  <si>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</si>
  <si>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</si>
  <si>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</si>
  <si>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</si>
  <si>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</si>
  <si>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</si>
  <si>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</si>
  <si>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</si>
  <si>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</si>
  <si>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</si>
  <si>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</si>
  <si>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</si>
  <si>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</si>
  <si>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</si>
  <si>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</si>
  <si>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</si>
  <si>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</si>
  <si>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</si>
  <si>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</si>
  <si>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</si>
  <si>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</si>
  <si>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</si>
  <si>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</si>
  <si>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</si>
  <si>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</si>
  <si>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</si>
  <si>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</si>
  <si>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</si>
  <si>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</si>
  <si>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</si>
  <si>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</si>
  <si>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</si>
  <si>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</si>
  <si>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</si>
  <si>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</si>
  <si>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</si>
  <si>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</si>
  <si>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</si>
  <si>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</si>
  <si>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</si>
  <si>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</si>
  <si>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</si>
  <si>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</si>
  <si>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</si>
  <si>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</si>
  <si>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</si>
  <si>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</si>
  <si>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</si>
  <si>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</si>
  <si>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</si>
  <si>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</si>
  <si>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</si>
  <si>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</si>
  <si>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</si>
  <si>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</si>
  <si>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</si>
  <si>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</si>
  <si>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</si>
  <si>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</si>
  <si>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</si>
  <si>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</si>
  <si>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</si>
  <si>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</si>
  <si>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</si>
  <si>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</si>
  <si>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</si>
  <si>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</si>
  <si>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</si>
  <si>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</si>
  <si>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</si>
  <si>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</si>
  <si>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</si>
  <si>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</si>
  <si>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</si>
  <si>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</si>
  <si>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</si>
  <si>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</si>
  <si>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</si>
  <si>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</si>
  <si>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</si>
  <si>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</si>
  <si>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</si>
  <si>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</si>
  <si>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</si>
  <si>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</si>
  <si>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</si>
  <si>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</si>
  <si>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</si>
  <si>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</si>
  <si>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</si>
  <si>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</si>
  <si>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</si>
  <si>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</si>
  <si>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</si>
  <si>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</si>
  <si>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</si>
  <si>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</si>
  <si>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</si>
  <si>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</si>
  <si>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</si>
  <si>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</si>
  <si>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</si>
  <si>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</si>
  <si>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</si>
  <si>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</si>
  <si>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</si>
  <si>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</si>
  <si>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</si>
  <si>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</si>
  <si>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</si>
  <si>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</si>
  <si>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</si>
  <si>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</si>
  <si>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</si>
  <si>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</si>
  <si>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</si>
  <si>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</si>
  <si>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</si>
  <si>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</si>
  <si>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</si>
  <si>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</si>
  <si>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</si>
  <si>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</si>
  <si>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</si>
  <si>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</si>
  <si>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</si>
  <si>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</si>
  <si>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</si>
  <si>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</si>
  <si>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</si>
  <si>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</si>
  <si>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</si>
  <si>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</si>
  <si>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</si>
  <si>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</si>
  <si>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</si>
  <si>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</si>
  <si>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</si>
  <si>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</si>
  <si>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</si>
  <si>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</si>
  <si>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</si>
  <si>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</si>
  <si>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</si>
  <si>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</si>
  <si>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</si>
  <si>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</si>
  <si>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</si>
  <si>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</si>
  <si>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</si>
  <si>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</si>
  <si>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</si>
  <si>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</si>
  <si>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</si>
  <si>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</si>
  <si>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</si>
  <si>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</si>
  <si>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</si>
  <si>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</si>
  <si>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</si>
  <si>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</si>
  <si>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</si>
  <si>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</si>
  <si>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</si>
  <si>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</si>
  <si>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</si>
  <si>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</si>
  <si>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</si>
  <si>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</si>
  <si>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</si>
  <si>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</si>
  <si>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</si>
  <si>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</si>
  <si>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</si>
  <si>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</si>
  <si>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</si>
  <si>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</si>
  <si>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</si>
  <si>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</si>
  <si>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</si>
  <si>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</si>
  <si>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</si>
  <si>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</si>
  <si>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</si>
  <si>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</si>
  <si>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</si>
  <si>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</si>
  <si>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</si>
  <si>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</si>
  <si>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</si>
  <si>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</si>
  <si>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</si>
  <si>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</si>
  <si>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</si>
  <si>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</si>
  <si>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</si>
  <si>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</si>
  <si>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</si>
  <si>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</si>
  <si>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</si>
  <si>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</si>
  <si>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</si>
  <si>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</si>
  <si>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</si>
  <si>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</si>
  <si>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</si>
  <si>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</si>
  <si>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</si>
  <si>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</si>
  <si>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</si>
  <si>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</si>
  <si>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</si>
  <si>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</si>
  <si>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</si>
  <si>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</si>
  <si>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</si>
  <si>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</si>
  <si>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</si>
  <si>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</si>
  <si>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</si>
  <si>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</si>
  <si>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</si>
  <si>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</si>
  <si>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</si>
  <si>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</si>
  <si>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</si>
  <si>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</si>
  <si>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</si>
  <si>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</si>
  <si>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</si>
  <si>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</si>
  <si>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</si>
  <si>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</si>
  <si>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</si>
  <si>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</si>
  <si>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</si>
  <si>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</si>
  <si>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</si>
  <si>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</si>
  <si>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</si>
  <si>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</si>
  <si>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</si>
  <si>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</si>
  <si>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</si>
  <si>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</si>
  <si>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</si>
  <si>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</si>
  <si>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</si>
  <si>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</si>
  <si>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</si>
  <si>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</si>
  <si>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</si>
  <si>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</si>
  <si>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</si>
  <si>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</si>
  <si>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</si>
  <si>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</si>
  <si>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</si>
  <si>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</si>
  <si>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</si>
  <si>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</si>
  <si>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</si>
  <si>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</si>
  <si>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</si>
  <si>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</si>
  <si>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</si>
  <si>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</si>
  <si>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</si>
  <si>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</si>
  <si>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</si>
  <si>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</si>
  <si>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</si>
  <si>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</si>
  <si>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</si>
  <si>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</si>
  <si>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</si>
  <si>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</si>
  <si>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</si>
  <si>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</si>
  <si>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</si>
  <si>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</si>
  <si>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</si>
  <si>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</si>
  <si>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</si>
  <si>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</si>
  <si>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</si>
  <si>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</si>
  <si>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</si>
  <si>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</si>
  <si>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</si>
  <si>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</si>
  <si>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</si>
  <si>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</si>
  <si>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</si>
  <si>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</si>
  <si>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</si>
  <si>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</si>
  <si>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</si>
  <si>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</si>
  <si>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</si>
  <si>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</si>
  <si>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</si>
  <si>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</si>
  <si>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</si>
  <si>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</si>
  <si>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</si>
  <si>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</si>
  <si>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</si>
  <si>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</si>
  <si>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</si>
  <si>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</si>
  <si>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</si>
  <si>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</si>
  <si>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</si>
  <si>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</si>
  <si>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</si>
  <si>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</si>
  <si>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</si>
  <si>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</si>
  <si>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</si>
  <si>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</si>
  <si>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</si>
  <si>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</si>
  <si>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</si>
  <si>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</si>
  <si>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</si>
  <si>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</si>
  <si>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</si>
  <si>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</si>
  <si>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</si>
  <si>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</si>
  <si>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</si>
  <si>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</si>
  <si>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</si>
  <si>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</si>
  <si>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</si>
  <si>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</si>
  <si>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</si>
  <si>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</si>
  <si>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</si>
  <si>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</si>
  <si>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</si>
  <si>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</si>
  <si>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</si>
  <si>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</si>
  <si>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</si>
  <si>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</si>
  <si>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</si>
  <si>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</si>
  <si>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</si>
  <si>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</si>
  <si>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</si>
  <si>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</si>
  <si>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</si>
  <si>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</si>
  <si>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</si>
  <si>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</si>
  <si>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</si>
  <si>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</si>
  <si>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</si>
  <si>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</si>
  <si>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</si>
  <si>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</si>
  <si>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</si>
  <si>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</si>
  <si>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</si>
  <si>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</si>
  <si>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</si>
  <si>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</si>
  <si>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</si>
  <si>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</si>
  <si>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</si>
  <si>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</si>
  <si>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</si>
  <si>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</si>
  <si>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</si>
  <si>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</si>
  <si>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</si>
  <si>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</si>
  <si>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</si>
  <si>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</si>
  <si>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</si>
  <si>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</si>
  <si>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</si>
  <si>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</si>
  <si>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</si>
  <si>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</si>
  <si>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</si>
  <si>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</si>
  <si>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</si>
  <si>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</si>
  <si>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</si>
  <si>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</si>
  <si>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</si>
  <si>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</si>
  <si>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</si>
  <si>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</si>
  <si>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</si>
  <si>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</si>
  <si>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</si>
  <si>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</si>
  <si>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</si>
  <si>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</si>
  <si>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</si>
  <si>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</si>
  <si>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</si>
  <si>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</si>
  <si>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</si>
  <si>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</si>
  <si>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</si>
  <si>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</si>
  <si>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</si>
  <si>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</si>
  <si>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</si>
  <si>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</si>
  <si>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</si>
  <si>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</si>
  <si>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</si>
  <si>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</si>
  <si>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</si>
  <si>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</si>
  <si>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</si>
  <si>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</si>
  <si>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</si>
  <si>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</si>
  <si>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</si>
  <si>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</si>
  <si>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</si>
  <si>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</si>
  <si>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</si>
  <si>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</si>
  <si>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</si>
  <si>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</si>
  <si>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</si>
  <si>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</si>
  <si>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</si>
  <si>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</si>
  <si>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</si>
  <si>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</si>
  <si>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</si>
  <si>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</si>
  <si>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</si>
  <si>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</si>
  <si>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</si>
  <si>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</si>
  <si>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</si>
  <si>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</si>
  <si>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</si>
  <si>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</si>
  <si>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</si>
  <si>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</si>
  <si>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</si>
  <si>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</si>
  <si>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</si>
  <si>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</si>
  <si>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</si>
  <si>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</si>
  <si>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</si>
  <si>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</si>
  <si>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</si>
  <si>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</si>
  <si>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</si>
  <si>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</si>
  <si>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</si>
  <si>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</si>
  <si>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</si>
  <si>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</si>
  <si>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</si>
  <si>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</si>
  <si>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</si>
  <si>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</si>
  <si>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</si>
  <si>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</si>
  <si>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</si>
  <si>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</si>
  <si>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</si>
  <si>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</si>
  <si>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</si>
  <si>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</si>
  <si>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</si>
  <si>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</si>
  <si>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</si>
  <si>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</si>
  <si>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</si>
  <si>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</si>
  <si>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</si>
  <si>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</si>
  <si>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</si>
  <si>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</si>
  <si>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</si>
  <si>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</si>
  <si>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</si>
  <si>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</si>
  <si>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</si>
  <si>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</si>
  <si>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</si>
  <si>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</si>
  <si>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</si>
  <si>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</si>
  <si>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</si>
  <si>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</si>
  <si>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</si>
  <si>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</si>
  <si>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</si>
  <si>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</si>
  <si>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</si>
  <si>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</si>
  <si>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</si>
  <si>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</si>
  <si>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</si>
  <si>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</si>
  <si>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</si>
  <si>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</si>
  <si>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</si>
  <si>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</si>
  <si>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</si>
  <si>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</si>
  <si>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</si>
  <si>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</si>
  <si>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</si>
  <si>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</si>
  <si>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</si>
  <si>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</si>
  <si>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</si>
  <si>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</si>
  <si>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</si>
  <si>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</si>
  <si>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</si>
  <si>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</si>
  <si>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</si>
  <si>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</si>
  <si>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</si>
  <si>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</si>
  <si>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</si>
  <si>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</si>
  <si>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</si>
  <si>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</si>
  <si>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</si>
  <si>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</si>
  <si>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</si>
  <si>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</si>
  <si>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</si>
  <si>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</si>
  <si>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</si>
  <si>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</si>
  <si>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</si>
  <si>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</si>
  <si>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</si>
  <si>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</si>
  <si>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</si>
  <si>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</si>
  <si>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</si>
  <si>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</si>
  <si>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</si>
  <si>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</si>
  <si>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</si>
  <si>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</si>
  <si>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</si>
  <si>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</si>
  <si>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</si>
  <si>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</si>
  <si>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</si>
  <si>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</si>
  <si>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</si>
  <si>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</si>
  <si>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</si>
  <si>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</si>
  <si>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</si>
  <si>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</si>
  <si>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</si>
  <si>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</si>
  <si>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</si>
  <si>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</si>
  <si>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</si>
  <si>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</si>
  <si>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</si>
  <si>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</si>
  <si>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</si>
  <si>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</si>
  <si>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</si>
  <si>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</si>
  <si>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</si>
  <si>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</si>
  <si>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</si>
  <si>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</si>
  <si>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</si>
  <si>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</si>
  <si>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</si>
  <si>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</si>
  <si>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</si>
  <si>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</si>
  <si>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</si>
  <si>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</si>
  <si>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</si>
  <si>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</si>
  <si>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</si>
  <si>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</si>
  <si>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</si>
  <si>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</si>
  <si>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</si>
  <si>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</si>
  <si>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</si>
  <si>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</si>
  <si>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</si>
  <si>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</si>
  <si>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</si>
  <si>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</si>
  <si>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</si>
  <si>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</si>
  <si>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</si>
  <si>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</si>
  <si>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</si>
  <si>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</si>
  <si>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</si>
  <si>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</si>
  <si>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</si>
  <si>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</si>
  <si>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</si>
  <si>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</si>
  <si>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</si>
  <si>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</si>
  <si>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</si>
  <si>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</si>
  <si>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</si>
  <si>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</si>
  <si>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</si>
  <si>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</si>
  <si>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</si>
  <si>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</si>
  <si>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</si>
  <si>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</si>
  <si>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</si>
  <si>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</si>
  <si>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</si>
  <si>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</si>
  <si>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</si>
  <si>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</si>
  <si>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</si>
  <si>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</si>
  <si>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</si>
  <si>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</si>
  <si>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</si>
  <si>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</si>
  <si>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</si>
  <si>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</si>
  <si>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</si>
  <si>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</si>
  <si>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</si>
  <si>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</si>
  <si>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</si>
  <si>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</si>
  <si>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</si>
  <si>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</si>
  <si>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</si>
  <si>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</si>
  <si>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</si>
  <si>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</si>
  <si>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</si>
  <si>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</si>
  <si>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</si>
  <si>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</si>
  <si>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</si>
  <si>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</si>
  <si>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</si>
  <si>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</si>
  <si>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</si>
  <si>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</si>
  <si>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</si>
  <si>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</si>
  <si>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</si>
  <si>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</si>
  <si>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</si>
  <si>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</si>
  <si>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</si>
  <si>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</si>
  <si>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</si>
  <si>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</si>
  <si>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</si>
  <si>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</si>
  <si>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</si>
  <si>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</si>
  <si>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</si>
  <si>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</si>
  <si>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</si>
  <si>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</si>
  <si>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</si>
  <si>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</si>
  <si>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</si>
  <si>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</si>
  <si>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</si>
  <si>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</si>
  <si>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</si>
  <si>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</si>
  <si>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</si>
  <si>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</si>
  <si>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</si>
  <si>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</si>
  <si>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</si>
  <si>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</si>
  <si>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</si>
  <si>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</si>
  <si>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</si>
  <si>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</si>
  <si>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</si>
  <si>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</si>
  <si>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</si>
  <si>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</si>
  <si>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</si>
  <si>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</si>
  <si>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</si>
  <si>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</si>
  <si>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</si>
  <si>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</si>
  <si>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</si>
  <si>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</si>
  <si>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</si>
  <si>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</si>
  <si>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</si>
  <si>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</si>
  <si>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</si>
  <si>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</si>
  <si>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</si>
  <si>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</si>
  <si>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</si>
  <si>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</si>
  <si>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</si>
  <si>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</si>
  <si>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</si>
  <si>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</si>
  <si>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</si>
  <si>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</si>
  <si>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</si>
  <si>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</si>
  <si>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</si>
  <si>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</si>
  <si>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</si>
  <si>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</si>
  <si>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</si>
  <si>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</si>
  <si>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</si>
  <si>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</si>
  <si>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</si>
  <si>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</si>
  <si>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</si>
  <si>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</si>
  <si>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</si>
  <si>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</si>
  <si>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</si>
  <si>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</si>
  <si>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</si>
  <si>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</si>
  <si>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</si>
  <si>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</si>
  <si>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</si>
  <si>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</si>
  <si>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</si>
  <si>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</si>
  <si>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</si>
  <si>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</si>
  <si>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</si>
  <si>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</si>
  <si>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</si>
  <si>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</si>
  <si>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</si>
  <si>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</si>
  <si>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</si>
  <si>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</si>
  <si>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</si>
  <si>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</si>
  <si>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</si>
  <si>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</si>
  <si>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</si>
  <si>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</si>
  <si>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</si>
  <si>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</si>
  <si>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</si>
  <si>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</si>
  <si>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</si>
  <si>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</si>
  <si>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</si>
  <si>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</si>
  <si>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</si>
  <si>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</si>
  <si>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</si>
  <si>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</si>
  <si>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</si>
  <si>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</si>
  <si>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</si>
  <si>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</si>
  <si>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</si>
  <si>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</si>
  <si>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</si>
  <si>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</si>
  <si>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</si>
  <si>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</si>
  <si>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</si>
  <si>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</si>
  <si>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</si>
  <si>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</si>
  <si>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</si>
  <si>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</si>
  <si>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</si>
  <si>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</si>
  <si>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</si>
  <si>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</si>
  <si>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</si>
  <si>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</si>
  <si>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</si>
  <si>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</si>
  <si>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</si>
  <si>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</si>
  <si>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</si>
  <si>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</si>
  <si>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</si>
  <si>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</si>
  <si>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</si>
  <si>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</si>
  <si>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</si>
  <si>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</si>
  <si>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</si>
  <si>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</si>
  <si>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</si>
  <si>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</si>
  <si>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</si>
  <si>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</si>
  <si>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</si>
  <si>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</si>
  <si>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</si>
  <si>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</si>
  <si>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</si>
  <si>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</si>
  <si>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</si>
  <si>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</si>
  <si>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</si>
  <si>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</si>
  <si>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</si>
  <si>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</si>
  <si>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</si>
  <si>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</si>
  <si>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</si>
  <si>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</si>
  <si>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</si>
  <si>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</si>
  <si>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</si>
  <si>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</si>
  <si>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</si>
  <si>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</si>
  <si>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</si>
  <si>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</si>
  <si>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</si>
  <si>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</si>
  <si>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</si>
  <si>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</si>
  <si>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</si>
  <si>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</si>
  <si>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</si>
  <si>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</si>
  <si>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</si>
  <si>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</si>
  <si>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</si>
  <si>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</si>
  <si>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</si>
  <si>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</si>
  <si>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</si>
  <si>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</si>
  <si>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</si>
  <si>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</si>
  <si>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</si>
  <si>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</si>
  <si>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</si>
  <si>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</si>
  <si>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</si>
  <si>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</si>
  <si>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</si>
  <si>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</si>
  <si>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</si>
  <si>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</si>
  <si>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</si>
  <si>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</si>
  <si>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</si>
  <si>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</si>
  <si>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</si>
  <si>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</si>
  <si>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</si>
  <si>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</si>
  <si>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</si>
  <si>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</si>
  <si>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</si>
  <si>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</si>
  <si>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</si>
  <si>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</si>
  <si>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</si>
  <si>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</si>
  <si>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</si>
  <si>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</si>
  <si>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</si>
  <si>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</si>
  <si>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</si>
  <si>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</si>
  <si>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</si>
  <si>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</si>
  <si>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</si>
  <si>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</si>
  <si>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</si>
  <si>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</si>
  <si>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</si>
  <si>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</si>
  <si>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</si>
  <si>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</si>
  <si>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</si>
  <si>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</si>
  <si>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</si>
  <si>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</si>
  <si>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</si>
  <si>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</si>
  <si>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</si>
  <si>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</si>
  <si>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</si>
  <si>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</si>
  <si>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</si>
  <si>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</si>
  <si>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</si>
  <si>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</si>
  <si>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</si>
  <si>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</si>
  <si>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</si>
  <si>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</si>
  <si>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</si>
  <si>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</si>
  <si>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</si>
  <si>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</si>
  <si>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</si>
  <si>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</si>
  <si>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</si>
  <si>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</si>
  <si>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</si>
  <si>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</si>
  <si>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</si>
  <si>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</si>
  <si>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</si>
  <si>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</si>
  <si>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</si>
  <si>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</si>
  <si>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</si>
  <si>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</si>
  <si>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</si>
  <si>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</si>
  <si>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</si>
  <si>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</si>
  <si>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</si>
  <si>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</si>
  <si>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</si>
  <si>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</si>
  <si>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</si>
  <si>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</si>
  <si>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</si>
  <si>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</si>
  <si>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</si>
  <si>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</si>
  <si>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</si>
  <si>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</si>
  <si>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</si>
  <si>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</si>
  <si>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</si>
  <si>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</si>
  <si>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</si>
  <si>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</si>
  <si>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</si>
  <si>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</si>
  <si>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</si>
  <si>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</si>
  <si>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</si>
  <si>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</si>
  <si>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</si>
  <si>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</si>
  <si>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</si>
  <si>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</si>
  <si>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</si>
  <si>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</si>
  <si>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</si>
  <si>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</si>
  <si>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</si>
  <si>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</si>
  <si>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</si>
  <si>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</si>
  <si>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</si>
  <si>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</si>
  <si>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</si>
  <si>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</si>
  <si>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</si>
  <si>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</si>
  <si>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</si>
  <si>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</si>
  <si>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</si>
  <si>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</si>
  <si>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</si>
  <si>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</si>
  <si>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</si>
  <si>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</si>
  <si>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</si>
  <si>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</si>
  <si>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</si>
  <si>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</si>
  <si>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</si>
  <si>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</si>
  <si>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</si>
  <si>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</si>
  <si>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</si>
  <si>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</si>
  <si>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</si>
  <si>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</si>
  <si>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</si>
  <si>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</si>
  <si>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</si>
  <si>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</si>
  <si>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</si>
  <si>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</si>
  <si>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</si>
  <si>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</si>
  <si>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</si>
  <si>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</si>
  <si>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</si>
  <si>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</si>
  <si>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</si>
  <si>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</si>
  <si>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</si>
  <si>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</si>
  <si>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</si>
  <si>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</si>
  <si>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</si>
  <si>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</si>
  <si>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</si>
  <si>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</si>
  <si>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</si>
  <si>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</si>
  <si>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</si>
  <si>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</si>
  <si>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</si>
  <si>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</si>
  <si>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</si>
  <si>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</si>
  <si>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</si>
  <si>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</si>
  <si>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</si>
  <si>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</si>
  <si>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</si>
  <si>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</si>
  <si>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</si>
  <si>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</si>
  <si>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</si>
  <si>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</si>
  <si>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</si>
  <si>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</si>
  <si>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</si>
  <si>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</si>
  <si>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</si>
  <si>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</si>
  <si>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</si>
  <si>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</si>
  <si>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</si>
  <si>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</si>
  <si>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</si>
  <si>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</si>
  <si>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</si>
  <si>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</si>
  <si>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</si>
  <si>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</si>
  <si>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</si>
  <si>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</si>
  <si>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</si>
  <si>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</si>
  <si>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</si>
  <si>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</si>
  <si>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</si>
  <si>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</si>
  <si>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</si>
  <si>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</si>
  <si>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</si>
  <si>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</si>
  <si>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</si>
  <si>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</si>
  <si>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</si>
  <si>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</si>
  <si>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</si>
  <si>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</si>
  <si>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</si>
  <si>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</si>
  <si>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</si>
  <si>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</si>
  <si>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</si>
  <si>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</si>
  <si>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</si>
  <si>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</si>
  <si>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</si>
  <si>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</si>
  <si>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</si>
  <si>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</si>
  <si>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</si>
  <si>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</si>
  <si>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</si>
  <si>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</si>
  <si>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</si>
  <si>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</si>
  <si>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</si>
  <si>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</si>
  <si>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</si>
  <si>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</si>
  <si>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</si>
  <si>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</si>
  <si>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</si>
  <si>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</si>
  <si>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</si>
  <si>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</si>
  <si>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</si>
  <si>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</si>
  <si>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</si>
  <si>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</si>
  <si>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</si>
  <si>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</si>
  <si>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</si>
  <si>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</si>
  <si>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</si>
  <si>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</si>
  <si>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</si>
  <si>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</si>
  <si>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</si>
  <si>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</si>
  <si>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</si>
  <si>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</si>
  <si>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</si>
  <si>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</si>
  <si>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</si>
  <si>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</si>
  <si>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</si>
  <si>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</si>
  <si>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</si>
  <si>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</si>
  <si>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</si>
  <si>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</si>
  <si>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</si>
  <si>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</si>
  <si>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</si>
  <si>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</si>
  <si>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</si>
  <si>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</si>
  <si>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</si>
  <si>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</si>
  <si>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</si>
  <si>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</si>
  <si>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</si>
  <si>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</si>
  <si>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</si>
  <si>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</si>
  <si>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</si>
  <si>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</si>
  <si>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</si>
  <si>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</si>
  <si>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</si>
  <si>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</si>
  <si>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</si>
  <si>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</si>
  <si>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</si>
  <si>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</si>
  <si>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</si>
  <si>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</si>
  <si>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</si>
  <si>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</si>
  <si>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</si>
  <si>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</si>
  <si>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</si>
  <si>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</si>
  <si>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</si>
  <si>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</si>
  <si>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</si>
  <si>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</si>
  <si>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</si>
  <si>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</si>
  <si>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</si>
  <si>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</si>
  <si>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</si>
  <si>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</si>
  <si>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</si>
  <si>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</si>
  <si>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</si>
  <si>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</si>
  <si>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</si>
  <si>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</si>
  <si>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</si>
  <si>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</si>
  <si>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</si>
  <si>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</si>
  <si>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</si>
  <si>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</si>
  <si>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</si>
  <si>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</si>
  <si>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</si>
  <si>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</si>
  <si>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</si>
  <si>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</si>
  <si>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</si>
  <si>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</si>
  <si>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</si>
  <si>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</si>
  <si>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</si>
  <si>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</si>
  <si>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</si>
  <si>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</si>
  <si>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</si>
  <si>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</si>
  <si>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</si>
  <si>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</si>
  <si>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</si>
  <si>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</si>
  <si>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</si>
  <si>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</si>
  <si>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</si>
  <si>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</si>
  <si>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</si>
  <si>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</si>
  <si>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</si>
  <si>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</si>
  <si>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</si>
  <si>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</si>
  <si>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</si>
  <si>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</si>
  <si>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</si>
  <si>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</si>
  <si>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</si>
  <si>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</si>
  <si>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</si>
  <si>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</si>
  <si>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</si>
  <si>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</si>
  <si>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</si>
  <si>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</si>
  <si>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</si>
  <si>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</si>
  <si>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</si>
  <si>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</si>
  <si>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</si>
  <si>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</si>
  <si>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</si>
  <si>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</si>
  <si>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</si>
  <si>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</si>
  <si>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</si>
  <si>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</si>
  <si>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</si>
  <si>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</si>
  <si>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</si>
  <si>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</si>
  <si>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</si>
  <si>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</si>
  <si>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</si>
  <si>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</si>
  <si>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</si>
  <si>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</si>
  <si>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</si>
  <si>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</si>
  <si>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</si>
  <si>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</si>
  <si>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</si>
  <si>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</si>
  <si>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</si>
  <si>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</si>
  <si>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</si>
  <si>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</si>
  <si>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</si>
  <si>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</si>
  <si>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</si>
  <si>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</si>
  <si>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</si>
  <si>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</si>
  <si>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</si>
  <si>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</si>
  <si>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</si>
  <si>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</si>
  <si>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</si>
  <si>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</si>
  <si>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</si>
  <si>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</si>
  <si>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</si>
  <si>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</si>
  <si>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</si>
  <si>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</si>
  <si>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</si>
  <si>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</si>
  <si>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</si>
  <si>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</si>
  <si>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</si>
  <si>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</si>
  <si>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</si>
  <si>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</si>
  <si>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</si>
  <si>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</si>
  <si>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</si>
  <si>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</si>
  <si>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</si>
  <si>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</si>
  <si>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</si>
  <si>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</si>
  <si>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</si>
  <si>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</si>
  <si>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</si>
  <si>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</si>
  <si>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</si>
  <si>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</si>
  <si>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</si>
  <si>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</si>
  <si>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</si>
  <si>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</si>
  <si>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</si>
  <si>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</si>
  <si>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</si>
  <si>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</si>
  <si>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</si>
  <si>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</si>
  <si>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</si>
  <si>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</si>
  <si>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</si>
  <si>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</si>
  <si>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</si>
  <si>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</si>
  <si>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</si>
  <si>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</si>
  <si>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</si>
  <si>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</si>
  <si>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</si>
  <si>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</si>
  <si>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</si>
  <si>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</si>
  <si>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</si>
  <si>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</si>
  <si>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</si>
  <si>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</si>
  <si>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</si>
  <si>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</si>
  <si>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</si>
  <si>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</si>
  <si>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</si>
  <si>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</si>
  <si>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</si>
  <si>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</si>
  <si>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</si>
  <si>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</si>
  <si>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</si>
  <si>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</si>
  <si>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</si>
  <si>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</si>
  <si>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</si>
  <si>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</si>
  <si>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</si>
  <si>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</si>
  <si>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</si>
  <si>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</si>
  <si>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</si>
  <si>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</si>
  <si>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</si>
  <si>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</si>
  <si>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</si>
  <si>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</si>
  <si>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</si>
  <si>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</si>
  <si>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</si>
  <si>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</si>
  <si>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</si>
  <si>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</si>
  <si>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</si>
  <si>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</si>
  <si>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</si>
  <si>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</si>
  <si>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</si>
  <si>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</si>
  <si>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</si>
  <si>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</si>
  <si>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</si>
  <si>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</si>
  <si>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</si>
  <si>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</si>
  <si>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</si>
  <si>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</si>
  <si>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</si>
  <si>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</si>
  <si>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</si>
  <si>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</si>
  <si>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</si>
  <si>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</si>
  <si>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</si>
  <si>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</si>
  <si>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</si>
  <si>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</si>
  <si>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</si>
  <si>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</si>
  <si>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</si>
  <si>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</si>
  <si>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</si>
  <si>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</si>
  <si>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</si>
  <si>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</si>
  <si>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</si>
  <si>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</si>
  <si>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</si>
  <si>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</si>
  <si>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</si>
  <si>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</si>
  <si>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</si>
  <si>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</si>
  <si>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</si>
  <si>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</si>
  <si>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</si>
  <si>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</si>
  <si>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</si>
  <si>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</si>
  <si>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</si>
  <si>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</si>
  <si>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</si>
  <si>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</si>
  <si>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</si>
  <si>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</si>
  <si>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</si>
  <si>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</si>
  <si>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</si>
  <si>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</si>
  <si>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</si>
  <si>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</si>
  <si>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</si>
  <si>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</si>
  <si>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</si>
  <si>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</si>
  <si>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</si>
  <si>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</si>
  <si>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</si>
  <si>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</si>
  <si>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</si>
  <si>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</si>
  <si>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</si>
  <si>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</si>
  <si>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</si>
  <si>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</si>
  <si>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</si>
  <si>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</si>
  <si>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</si>
  <si>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</si>
  <si>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</si>
  <si>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</si>
  <si>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</si>
  <si>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</si>
  <si>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</si>
  <si>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</si>
  <si>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</si>
  <si>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</si>
  <si>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</si>
  <si>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</si>
  <si>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</si>
  <si>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</si>
  <si>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</si>
  <si>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</si>
  <si>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</si>
  <si>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</si>
  <si>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</si>
  <si>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</si>
  <si>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</si>
  <si>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</si>
  <si>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</si>
  <si>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</si>
  <si>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</si>
  <si>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</si>
  <si>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</si>
  <si>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</si>
  <si>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</si>
  <si>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</si>
  <si>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</si>
  <si>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</si>
  <si>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</si>
  <si>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</si>
  <si>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</si>
  <si>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</si>
  <si>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</si>
  <si>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</si>
  <si>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</si>
  <si>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</si>
  <si>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</si>
  <si>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</si>
  <si>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</si>
  <si>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</si>
  <si>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</si>
  <si>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</si>
  <si>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</si>
  <si>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</si>
  <si>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</si>
  <si>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</si>
  <si>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</si>
  <si>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</si>
  <si>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</si>
  <si>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</si>
  <si>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</si>
  <si>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</si>
  <si>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</si>
  <si>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</si>
  <si>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</si>
  <si>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</si>
  <si>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</si>
  <si>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</si>
  <si>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</si>
  <si>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</si>
  <si>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</si>
  <si>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</si>
  <si>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</si>
  <si>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</si>
  <si>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</si>
  <si>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</si>
  <si>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</si>
  <si>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</si>
  <si>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</si>
  <si>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</si>
  <si>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</si>
  <si>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</si>
  <si>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</si>
  <si>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</si>
  <si>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</si>
  <si>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</si>
  <si>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</si>
  <si>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</si>
  <si>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</si>
  <si>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</si>
  <si>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</si>
  <si>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</si>
  <si>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</si>
  <si>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</si>
  <si>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</si>
  <si>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</si>
  <si>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</si>
  <si>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</si>
  <si>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</si>
  <si>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</si>
  <si>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</si>
  <si>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</si>
  <si>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</si>
  <si>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</si>
  <si>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</si>
  <si>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</si>
  <si>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</si>
  <si>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</si>
  <si>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</si>
  <si>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</si>
  <si>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</si>
  <si>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</si>
  <si>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</si>
  <si>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</si>
  <si>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</si>
  <si>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</si>
  <si>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</si>
  <si>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</si>
  <si>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</si>
  <si>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</si>
  <si>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</si>
  <si>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</si>
  <si>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</si>
  <si>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</si>
  <si>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</si>
  <si>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</si>
  <si>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</si>
  <si>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</si>
  <si>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</si>
  <si>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</si>
  <si>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</si>
  <si>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</si>
  <si>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</si>
  <si>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</si>
  <si>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</si>
  <si>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</si>
  <si>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</si>
  <si>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</si>
  <si>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</si>
  <si>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</si>
  <si>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</si>
  <si>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</si>
  <si>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</si>
  <si>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</si>
  <si>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</si>
  <si>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</si>
  <si>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</si>
  <si>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</si>
  <si>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</si>
  <si>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</si>
  <si>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</si>
  <si>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</si>
  <si>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</si>
  <si>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</si>
  <si>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</si>
  <si>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</si>
  <si>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</si>
  <si>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</si>
  <si>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</si>
  <si>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</si>
  <si>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</si>
  <si>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</si>
  <si>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</si>
  <si>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</si>
  <si>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</si>
  <si>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</si>
  <si>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</si>
  <si>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</si>
  <si>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</si>
  <si>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</si>
  <si>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</si>
  <si>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</si>
  <si>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</si>
  <si>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</si>
  <si>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</si>
  <si>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</si>
  <si>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</si>
  <si>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</si>
  <si>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</si>
  <si>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</si>
  <si>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</si>
  <si>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</si>
  <si>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</si>
  <si>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</si>
  <si>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</si>
  <si>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</si>
  <si>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</si>
  <si>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</si>
  <si>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</si>
  <si>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</si>
  <si>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</si>
  <si>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</si>
  <si>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</si>
  <si>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</si>
  <si>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</si>
  <si>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</si>
  <si>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</si>
  <si>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</si>
  <si>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</si>
  <si>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</si>
  <si>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</si>
  <si>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</si>
  <si>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</si>
  <si>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</si>
  <si>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</si>
  <si>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</si>
  <si>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</si>
  <si>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</si>
  <si>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</si>
  <si>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</si>
  <si>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</si>
  <si>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</si>
  <si>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</si>
  <si>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</si>
  <si>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</si>
  <si>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</si>
  <si>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</si>
  <si>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</si>
  <si>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</si>
  <si>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</si>
  <si>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</si>
  <si>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</si>
  <si>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</si>
  <si>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</si>
  <si>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</si>
  <si>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</si>
  <si>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</si>
  <si>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</si>
  <si>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</si>
  <si>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</si>
  <si>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</si>
  <si>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</si>
  <si>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</si>
  <si>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</si>
  <si>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</si>
  <si>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</si>
  <si>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</si>
  <si>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</si>
  <si>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</si>
  <si>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</si>
  <si>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</si>
  <si>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</si>
  <si>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</si>
  <si>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</si>
  <si>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</si>
  <si>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</si>
  <si>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</si>
  <si>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</si>
  <si>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</si>
  <si>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</si>
  <si>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</si>
  <si>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</si>
  <si>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</si>
  <si>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</si>
  <si>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</si>
  <si>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</si>
  <si>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</si>
  <si>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</si>
  <si>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</si>
  <si>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</si>
  <si>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</si>
  <si>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</si>
  <si>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</si>
  <si>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</si>
  <si>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</si>
  <si>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</si>
  <si>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</si>
  <si>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</si>
  <si>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</si>
  <si>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</si>
  <si>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</si>
  <si>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</si>
  <si>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</si>
  <si>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</si>
  <si>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</si>
  <si>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</si>
  <si>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</si>
  <si>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</si>
  <si>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</si>
  <si>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</si>
  <si>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</si>
  <si>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</si>
  <si>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</si>
  <si>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</si>
  <si>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</si>
  <si>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</si>
  <si>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</si>
  <si>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</si>
  <si>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</si>
  <si>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</si>
  <si>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</si>
  <si>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</si>
  <si>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</si>
  <si>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</si>
  <si>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</si>
  <si>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</si>
  <si>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</si>
  <si>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</si>
  <si>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</si>
  <si>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</si>
  <si>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</si>
  <si>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</si>
  <si>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</si>
  <si>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</si>
  <si>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</si>
  <si>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</si>
  <si>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</si>
  <si>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</si>
  <si>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</si>
  <si>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</si>
  <si>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</si>
  <si>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</si>
  <si>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</si>
  <si>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</si>
  <si>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</si>
  <si>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</si>
  <si>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</si>
  <si>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</si>
  <si>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</si>
  <si>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</si>
  <si>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</si>
  <si>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</si>
  <si>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</si>
  <si>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</si>
  <si>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</si>
  <si>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</si>
  <si>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</si>
  <si>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</si>
  <si>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</si>
  <si>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</si>
  <si>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</si>
  <si>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</si>
  <si>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</si>
  <si>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</si>
  <si>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</si>
  <si>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</si>
  <si>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</si>
  <si>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</si>
  <si>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</si>
  <si>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</si>
  <si>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</si>
  <si>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</si>
  <si>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</si>
  <si>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</si>
  <si>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</si>
  <si>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</si>
  <si>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</si>
  <si>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</si>
  <si>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</si>
  <si>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</si>
  <si>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</si>
  <si>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</si>
  <si>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</si>
  <si>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</si>
  <si>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</si>
  <si>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</si>
  <si>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</si>
  <si>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</si>
  <si>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</si>
  <si>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</si>
  <si>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</si>
  <si>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</si>
  <si>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</si>
  <si>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</si>
  <si>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</si>
  <si>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</si>
  <si>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</si>
  <si>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</si>
  <si>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</si>
  <si>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</si>
  <si>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</si>
  <si>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</si>
  <si>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</si>
  <si>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</si>
  <si>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</si>
  <si>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</si>
  <si>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</si>
  <si>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</si>
  <si>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</si>
  <si>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</si>
  <si>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</si>
  <si>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</si>
  <si>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</si>
  <si>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</si>
  <si>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</si>
  <si>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</si>
  <si>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</si>
  <si>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</si>
  <si>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</si>
  <si>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</si>
  <si>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</si>
  <si>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</si>
  <si>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</si>
  <si>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</si>
  <si>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</si>
  <si>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</si>
  <si>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</si>
  <si>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</si>
  <si>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</si>
  <si>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</si>
  <si>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</si>
  <si>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</si>
  <si>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</si>
  <si>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</si>
  <si>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</si>
  <si>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</si>
  <si>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</si>
  <si>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</si>
  <si>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</si>
  <si>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</si>
  <si>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</si>
  <si>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</si>
  <si>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</si>
  <si>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</si>
  <si>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</si>
  <si>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</si>
  <si>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</si>
  <si>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</si>
  <si>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</si>
  <si>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</si>
  <si>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</si>
  <si>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</si>
  <si>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</si>
  <si>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</si>
  <si>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</si>
  <si>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</si>
  <si>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</si>
  <si>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</si>
  <si>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</si>
  <si>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</si>
  <si>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</si>
  <si>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</si>
  <si>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</si>
  <si>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</si>
  <si>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</si>
  <si>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</si>
  <si>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</si>
  <si>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</si>
  <si>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</si>
  <si>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</si>
  <si>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</si>
  <si>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</si>
  <si>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</si>
  <si>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</si>
  <si>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</si>
  <si>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</si>
  <si>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</si>
  <si>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</si>
  <si>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</si>
  <si>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</si>
  <si>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</si>
  <si>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</si>
  <si>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</si>
  <si>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</si>
  <si>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</si>
  <si>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</si>
  <si>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</si>
  <si>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</si>
  <si>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</si>
  <si>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</si>
  <si>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</si>
  <si>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</si>
  <si>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</si>
  <si>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</si>
  <si>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</si>
  <si>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</si>
  <si>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</si>
  <si>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</si>
  <si>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</si>
  <si>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</si>
  <si>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</si>
  <si>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</si>
  <si>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</si>
  <si>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</si>
  <si>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</si>
  <si>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</si>
  <si>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</si>
  <si>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</si>
  <si>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</si>
  <si>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</si>
  <si>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</si>
  <si>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</si>
  <si>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</si>
  <si>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</si>
  <si>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</si>
  <si>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</si>
  <si>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</si>
  <si>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</si>
  <si>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</si>
  <si>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</si>
  <si>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</si>
  <si>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</si>
  <si>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</si>
  <si>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</si>
  <si>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</si>
  <si>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</si>
  <si>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</si>
  <si>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</si>
  <si>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</si>
  <si>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</si>
  <si>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</si>
  <si>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</si>
  <si>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</si>
  <si>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</si>
  <si>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</si>
  <si>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</si>
  <si>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</si>
  <si>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</si>
  <si>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</si>
  <si>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</si>
  <si>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</si>
  <si>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</si>
  <si>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</si>
  <si>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</si>
  <si>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</si>
  <si>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</si>
  <si>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</si>
  <si>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</si>
  <si>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</si>
  <si>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</si>
  <si>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</si>
  <si>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</si>
  <si>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</si>
  <si>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</si>
  <si>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</si>
  <si>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</si>
  <si>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</si>
  <si>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</si>
  <si>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</si>
  <si>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</si>
  <si>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</si>
  <si>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</si>
  <si>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</si>
  <si>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</si>
  <si>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</si>
  <si>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</si>
  <si>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</si>
  <si>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</si>
  <si>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</si>
  <si>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</si>
  <si>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</si>
  <si>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</si>
  <si>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</si>
  <si>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</si>
  <si>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</si>
  <si>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</si>
  <si>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</si>
  <si>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</si>
  <si>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</si>
  <si>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</si>
  <si>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</si>
  <si>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</si>
  <si>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</si>
  <si>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</si>
  <si>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</si>
  <si>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</si>
  <si>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</si>
  <si>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</si>
  <si>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</si>
  <si>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</si>
  <si>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</si>
  <si>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</si>
  <si>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</si>
  <si>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</si>
  <si>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</si>
  <si>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</si>
  <si>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</si>
  <si>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</si>
  <si>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</si>
  <si>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</si>
  <si>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</si>
  <si>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</si>
  <si>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</si>
  <si>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</si>
  <si>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</si>
  <si>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</si>
  <si>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</si>
  <si>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</si>
  <si>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</si>
  <si>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</si>
  <si>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</si>
  <si>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</si>
  <si>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</si>
  <si>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</si>
  <si>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</si>
  <si>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</si>
  <si>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</si>
  <si>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</si>
  <si>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</si>
  <si>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</si>
  <si>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</si>
  <si>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</si>
  <si>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</si>
  <si>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</si>
  <si>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</si>
  <si>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</si>
  <si>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</si>
  <si>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</si>
  <si>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</si>
  <si>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</si>
  <si>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</si>
  <si>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</si>
  <si>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</si>
  <si>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</si>
  <si>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</si>
  <si>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</si>
  <si>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</si>
  <si>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</si>
  <si>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</si>
  <si>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</si>
  <si>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</si>
  <si>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</si>
  <si>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</si>
  <si>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</si>
  <si>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</si>
  <si>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</si>
  <si>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</si>
  <si>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</si>
  <si>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</si>
  <si>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</si>
  <si>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</si>
  <si>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</si>
  <si>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</si>
  <si>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</si>
  <si>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</si>
  <si>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</si>
  <si>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</si>
  <si>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</si>
  <si>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</si>
  <si>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</si>
  <si>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</si>
  <si>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</si>
  <si>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</si>
  <si>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</si>
  <si>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</si>
  <si>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</si>
  <si>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</si>
  <si>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</si>
  <si>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</si>
  <si>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</si>
  <si>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</si>
  <si>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</si>
  <si>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</si>
  <si>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</si>
  <si>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</si>
  <si>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</si>
  <si>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</si>
  <si>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</si>
  <si>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</si>
  <si>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</si>
  <si>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</si>
  <si>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</si>
  <si>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</si>
  <si>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</si>
  <si>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</si>
  <si>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</si>
  <si>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</si>
  <si>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</si>
  <si>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</si>
  <si>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</si>
  <si>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</si>
  <si>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</si>
  <si>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</si>
  <si>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</si>
  <si>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</si>
  <si>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</si>
  <si>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</si>
  <si>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</si>
  <si>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</si>
  <si>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</si>
  <si>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</si>
  <si>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</si>
  <si>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</si>
  <si>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</si>
  <si>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</si>
  <si>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</si>
  <si>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</si>
  <si>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</si>
  <si>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</si>
  <si>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</si>
  <si>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</si>
  <si>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</si>
  <si>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</si>
  <si>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</si>
  <si>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</si>
  <si>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</si>
  <si>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</si>
  <si>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</si>
  <si>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</si>
  <si>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</si>
  <si>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</si>
  <si>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</si>
  <si>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</si>
  <si>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</si>
  <si>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</si>
  <si>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</si>
  <si>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</si>
  <si>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</si>
  <si>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</si>
  <si>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</si>
  <si>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</si>
  <si>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</si>
  <si>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</si>
  <si>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</si>
  <si>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</si>
  <si>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</si>
  <si>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</si>
  <si>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</si>
  <si>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</si>
  <si>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</si>
  <si>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</si>
  <si>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</si>
  <si>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</si>
  <si>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</si>
  <si>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</si>
  <si>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</si>
  <si>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</si>
  <si>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</si>
  <si>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</si>
  <si>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</si>
  <si>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</si>
  <si>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</si>
  <si>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</si>
  <si>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</si>
  <si>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</si>
  <si>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</si>
  <si>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</si>
  <si>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</si>
  <si>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</si>
  <si>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</si>
  <si>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</si>
  <si>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</si>
  <si>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</si>
  <si>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</si>
  <si>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</si>
  <si>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</si>
  <si>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</si>
  <si>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</si>
  <si>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</si>
  <si>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</si>
  <si>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</si>
  <si>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</si>
  <si>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</si>
  <si>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</si>
  <si>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</si>
  <si>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</si>
  <si>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</si>
  <si>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</si>
  <si>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</si>
  <si>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</si>
  <si>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</si>
  <si>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</si>
  <si>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</si>
  <si>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</si>
  <si>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</si>
  <si>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</si>
  <si>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</si>
  <si>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</si>
  <si>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</si>
  <si>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</si>
  <si>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</si>
  <si>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</si>
  <si>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</si>
  <si>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</si>
  <si>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</si>
  <si>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</si>
  <si>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</si>
  <si>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</si>
  <si>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</si>
  <si>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</si>
  <si>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</si>
  <si>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</si>
  <si>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</si>
  <si>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</si>
  <si>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</si>
  <si>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</si>
  <si>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</si>
  <si>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</si>
  <si>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</si>
  <si>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</si>
  <si>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</si>
  <si>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</si>
  <si>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</si>
  <si>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</si>
  <si>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</si>
  <si>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</si>
  <si>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</si>
  <si>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</si>
  <si>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</si>
  <si>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</si>
  <si>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</si>
  <si>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</si>
  <si>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</si>
  <si>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</si>
  <si>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</si>
  <si>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</si>
  <si>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</si>
  <si>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</si>
  <si>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</si>
  <si>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</si>
  <si>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</si>
  <si>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</si>
  <si>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</si>
  <si>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</si>
  <si>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</si>
  <si>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</si>
  <si>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</si>
  <si>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</si>
  <si>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</si>
  <si>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</si>
  <si>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</si>
  <si>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</si>
  <si>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</si>
  <si>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</si>
  <si>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</si>
  <si>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</si>
  <si>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</si>
  <si>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</si>
  <si>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</si>
  <si>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</si>
  <si>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</si>
  <si>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</si>
  <si>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</si>
  <si>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</si>
  <si>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</si>
  <si>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</si>
  <si>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</si>
  <si>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</si>
  <si>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</si>
  <si>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</si>
  <si>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</si>
  <si>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</si>
  <si>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</si>
  <si>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</si>
  <si>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</si>
  <si>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</si>
  <si>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</si>
  <si>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</si>
  <si>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</si>
  <si>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</si>
  <si>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</si>
  <si>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</si>
  <si>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</si>
  <si>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</si>
  <si>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</si>
  <si>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</si>
  <si>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</si>
  <si>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</si>
  <si>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</si>
  <si>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</si>
  <si>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</si>
  <si>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</si>
  <si>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</si>
  <si>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</si>
  <si>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</si>
  <si>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</si>
  <si>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</si>
  <si>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</si>
  <si>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</si>
  <si>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</si>
  <si>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</si>
  <si>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</si>
  <si>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</si>
  <si>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</si>
  <si>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</si>
  <si>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</si>
  <si>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</si>
  <si>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</si>
  <si>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</si>
  <si>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</si>
  <si>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</si>
  <si>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</si>
  <si>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</si>
  <si>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</si>
  <si>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</si>
  <si>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</si>
  <si>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</si>
  <si>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</si>
  <si>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</si>
  <si>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</si>
  <si>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</si>
  <si>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</si>
  <si>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</si>
  <si>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</si>
  <si>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</si>
  <si>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</si>
  <si>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</si>
  <si>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</si>
  <si>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</si>
  <si>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</si>
  <si>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</si>
  <si>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</si>
  <si>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</si>
  <si>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</si>
  <si>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</si>
  <si>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</si>
  <si>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</si>
  <si>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</si>
  <si>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</si>
  <si>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</si>
  <si>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</si>
  <si>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</si>
  <si>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</si>
  <si>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</si>
  <si>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</si>
  <si>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</si>
  <si>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</si>
  <si>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</si>
  <si>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</si>
  <si>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</si>
  <si>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</si>
  <si>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</si>
  <si>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</si>
  <si>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</si>
  <si>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</si>
  <si>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</si>
  <si>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</si>
  <si>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</si>
  <si>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</si>
  <si>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</si>
  <si>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</si>
  <si>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</si>
  <si>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</si>
  <si>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</si>
  <si>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</si>
  <si>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</si>
  <si>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</si>
  <si>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</si>
  <si>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</si>
  <si>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</si>
  <si>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</si>
  <si>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</si>
  <si>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</si>
  <si>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</si>
  <si>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</si>
  <si>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</si>
  <si>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</si>
  <si>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</si>
  <si>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</si>
  <si>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</si>
  <si>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</si>
  <si>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</si>
  <si>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</si>
  <si>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</si>
  <si>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</si>
  <si>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</si>
  <si>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</si>
  <si>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</si>
  <si>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</si>
  <si>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</si>
  <si>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</si>
  <si>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</si>
  <si>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</si>
  <si>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</si>
  <si>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</si>
  <si>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</si>
  <si>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</si>
  <si>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</si>
  <si>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</si>
  <si>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</si>
  <si>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</si>
  <si>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</si>
  <si>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</si>
  <si>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</si>
  <si>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</si>
  <si>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</si>
  <si>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</si>
  <si>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</si>
  <si>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</si>
  <si>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</si>
  <si>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</si>
  <si>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</si>
  <si>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</si>
  <si>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</si>
  <si>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</si>
  <si>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</si>
  <si>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</si>
  <si>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</si>
  <si>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</si>
  <si>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</si>
  <si>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</si>
  <si>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</si>
  <si>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</si>
  <si>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</si>
  <si>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</si>
  <si>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</si>
  <si>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</si>
  <si>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</si>
  <si>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</si>
  <si>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</si>
  <si>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</si>
  <si>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</si>
  <si>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</si>
  <si>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</si>
  <si>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</si>
  <si>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</si>
  <si>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</si>
  <si>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</si>
  <si>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</si>
  <si>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</si>
  <si>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</si>
  <si>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</si>
  <si>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</si>
  <si>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</si>
  <si>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</si>
  <si>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</si>
  <si>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</si>
  <si>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</si>
  <si>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</si>
  <si>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</si>
  <si>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</si>
  <si>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</si>
  <si>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</si>
  <si>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</si>
  <si>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</si>
  <si>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</si>
  <si>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</si>
  <si>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</si>
  <si>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</si>
  <si>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</si>
  <si>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</si>
  <si>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</si>
  <si>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</si>
  <si>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</si>
  <si>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</si>
  <si>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</si>
  <si>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</si>
  <si>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</si>
  <si>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</si>
  <si>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</si>
  <si>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</si>
  <si>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</si>
  <si>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</si>
  <si>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</si>
  <si>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</si>
  <si>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</si>
  <si>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</si>
  <si>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</si>
  <si>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</si>
  <si>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</si>
  <si>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</si>
  <si>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</si>
  <si>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</si>
  <si>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</si>
  <si>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</si>
  <si>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</si>
  <si>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</si>
  <si>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</si>
  <si>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</si>
  <si>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</si>
  <si>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</si>
  <si>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</si>
  <si>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</si>
  <si>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</si>
  <si>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</si>
  <si>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</si>
  <si>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</si>
  <si>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</si>
  <si>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</si>
  <si>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</si>
  <si>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</si>
  <si>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</si>
  <si>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</si>
  <si>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</si>
  <si>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</si>
  <si>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</si>
  <si>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</si>
  <si>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</si>
  <si>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</si>
  <si>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</si>
  <si>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</si>
  <si>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</si>
  <si>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</si>
  <si>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</si>
  <si>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</si>
  <si>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</si>
  <si>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</si>
  <si>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</si>
  <si>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</si>
  <si>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</si>
  <si>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</si>
  <si>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</si>
  <si>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</si>
  <si>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</si>
  <si>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</si>
  <si>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</si>
  <si>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</si>
  <si>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</si>
  <si>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</si>
  <si>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</si>
  <si>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</si>
  <si>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</si>
  <si>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</si>
  <si>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</si>
  <si>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</si>
  <si>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</si>
  <si>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</si>
  <si>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</si>
  <si>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</si>
  <si>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</si>
  <si>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</si>
  <si>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</si>
  <si>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</si>
  <si>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</si>
  <si>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</si>
  <si>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</si>
  <si>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</si>
  <si>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</si>
  <si>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</si>
  <si>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</si>
  <si>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</si>
  <si>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</si>
  <si>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</si>
  <si>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</si>
  <si>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</si>
  <si>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</si>
  <si>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</si>
  <si>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</si>
  <si>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</si>
  <si>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</si>
  <si>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</si>
  <si>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</si>
  <si>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</si>
  <si>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</si>
  <si>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</si>
  <si>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</si>
  <si>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</si>
  <si>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</si>
  <si>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</si>
  <si>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</si>
  <si>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</si>
  <si>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</si>
  <si>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</si>
  <si>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</si>
  <si>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</si>
  <si>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</si>
  <si>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</si>
  <si>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</si>
  <si>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</si>
  <si>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</si>
  <si>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</si>
  <si>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</si>
  <si>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</si>
  <si>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</si>
  <si>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</si>
  <si>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</si>
  <si>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</si>
  <si>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</si>
  <si>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</si>
  <si>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</si>
  <si>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</si>
  <si>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</si>
  <si>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</si>
  <si>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</si>
  <si>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</si>
  <si>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</si>
  <si>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</si>
  <si>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</si>
  <si>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</si>
  <si>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</si>
  <si>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</si>
  <si>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</si>
  <si>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</si>
  <si>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</si>
  <si>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</si>
  <si>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</si>
  <si>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</si>
  <si>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</si>
  <si>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</si>
  <si>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</si>
  <si>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</si>
  <si>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</si>
  <si>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</si>
  <si>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</si>
  <si>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</si>
  <si>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</si>
  <si>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</si>
  <si>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</si>
  <si>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</si>
  <si>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</si>
  <si>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</si>
  <si>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</si>
  <si>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</si>
  <si>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</si>
  <si>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</si>
  <si>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</si>
  <si>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</si>
  <si>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</si>
  <si>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</si>
  <si>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</si>
  <si>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</si>
  <si>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</si>
  <si>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</si>
  <si>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</si>
  <si>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</si>
  <si>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</si>
  <si>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</si>
  <si>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</si>
  <si>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</si>
  <si>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</si>
  <si>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</si>
  <si>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</si>
  <si>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</si>
  <si>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</si>
  <si>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</si>
  <si>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</si>
  <si>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</si>
  <si>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</si>
  <si>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</si>
  <si>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</si>
  <si>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</si>
  <si>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</si>
  <si>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</si>
  <si>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</si>
  <si>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</si>
  <si>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</si>
  <si>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</si>
  <si>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</si>
  <si>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</si>
  <si>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</si>
  <si>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</si>
  <si>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</si>
  <si>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</si>
  <si>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</si>
  <si>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</si>
  <si>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</si>
  <si>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</si>
  <si>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</si>
  <si>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</si>
  <si>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</si>
  <si>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</si>
  <si>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</si>
  <si>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</si>
  <si>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</si>
  <si>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</si>
  <si>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</si>
  <si>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</si>
  <si>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</si>
  <si>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</si>
  <si>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</si>
  <si>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</si>
  <si>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</si>
  <si>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</si>
  <si>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</si>
  <si>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</si>
  <si>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</si>
  <si>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</si>
  <si>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</si>
  <si>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</si>
  <si>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</si>
  <si>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</si>
  <si>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</si>
  <si>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</si>
  <si>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</si>
  <si>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</si>
  <si>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</si>
  <si>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</si>
  <si>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</si>
  <si>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</si>
  <si>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</si>
  <si>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</si>
  <si>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</si>
  <si>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</si>
  <si>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</si>
  <si>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</si>
  <si>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</si>
  <si>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</si>
  <si>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</si>
  <si>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</si>
  <si>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</si>
  <si>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</si>
  <si>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</si>
  <si>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</si>
  <si>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</si>
  <si>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</si>
  <si>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</si>
  <si>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</si>
  <si>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</si>
  <si>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</si>
  <si>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</si>
  <si>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</si>
  <si>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</si>
  <si>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</si>
  <si>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</si>
  <si>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</si>
  <si>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</si>
  <si>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</si>
  <si>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</si>
  <si>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</si>
  <si>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</si>
  <si>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</si>
  <si>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</si>
  <si>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</si>
  <si>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</si>
  <si>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</si>
  <si>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</si>
  <si>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</si>
  <si>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</si>
  <si>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</si>
  <si>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</si>
  <si>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</si>
  <si>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</si>
  <si>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</si>
  <si>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</si>
  <si>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</si>
  <si>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</si>
  <si>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</si>
  <si>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</si>
  <si>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</si>
  <si>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</si>
  <si>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</si>
  <si>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</si>
  <si>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</si>
  <si>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</si>
  <si>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</si>
  <si>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</si>
  <si>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</si>
  <si>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</si>
  <si>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</si>
  <si>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</si>
  <si>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</si>
  <si>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</si>
  <si>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</si>
  <si>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</si>
  <si>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</si>
  <si>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</si>
  <si>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</si>
  <si>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</si>
  <si>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</si>
  <si>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</si>
  <si>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</si>
  <si>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</si>
  <si>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</si>
  <si>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</si>
  <si>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</si>
  <si>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</si>
  <si>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</si>
  <si>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</si>
  <si>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</si>
  <si>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</si>
  <si>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</si>
  <si>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</si>
  <si>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</si>
  <si>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</si>
  <si>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</si>
  <si>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</si>
  <si>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</si>
  <si>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</si>
  <si>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</si>
  <si>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</si>
  <si>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</si>
  <si>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</si>
  <si>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</si>
  <si>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</si>
  <si>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</si>
  <si>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</si>
  <si>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</si>
  <si>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</si>
  <si>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</si>
  <si>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</si>
  <si>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</si>
  <si>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</si>
  <si>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</si>
  <si>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</si>
  <si>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</si>
  <si>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</si>
  <si>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</si>
  <si>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</si>
  <si>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</si>
  <si>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</si>
  <si>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</si>
  <si>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</si>
  <si>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</si>
  <si>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</si>
  <si>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</si>
  <si>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</si>
  <si>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</si>
  <si>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</si>
  <si>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</si>
  <si>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</si>
  <si>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</si>
  <si>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</si>
  <si>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</si>
  <si>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</si>
  <si>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</si>
  <si>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</si>
  <si>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</si>
  <si>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</si>
  <si>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</si>
  <si>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</si>
  <si>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</si>
  <si>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</si>
  <si>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</si>
  <si>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</si>
  <si>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</si>
  <si>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</si>
  <si>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</si>
  <si>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</si>
  <si>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</si>
  <si>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</si>
  <si>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</si>
  <si>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</si>
  <si>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</si>
  <si>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</si>
  <si>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</si>
  <si>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</si>
  <si>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</si>
  <si>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</si>
  <si>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</si>
  <si>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</si>
  <si>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</si>
  <si>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</si>
  <si>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</si>
  <si>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</si>
  <si>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</si>
  <si>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</si>
  <si>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</si>
  <si>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</si>
  <si>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</si>
  <si>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</si>
  <si>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</si>
  <si>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</si>
  <si>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</si>
  <si>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</si>
  <si>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</si>
  <si>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</si>
  <si>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</si>
  <si>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</si>
  <si>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</si>
  <si>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</si>
  <si>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</si>
  <si>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</si>
  <si>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</si>
  <si>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</si>
  <si>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</si>
  <si>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</si>
  <si>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</si>
  <si>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</si>
  <si>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</si>
  <si>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</si>
  <si>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</si>
  <si>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</si>
  <si>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</si>
  <si>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</si>
  <si>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</si>
  <si>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</si>
  <si>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</si>
  <si>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</si>
  <si>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</si>
  <si>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</si>
  <si>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</si>
  <si>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</si>
  <si>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</si>
  <si>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</si>
  <si>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</si>
  <si>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</si>
  <si>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</si>
  <si>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</si>
  <si>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</si>
  <si>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</si>
  <si>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</si>
  <si>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</si>
  <si>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</si>
  <si>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</si>
  <si>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</si>
  <si>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</si>
  <si>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</si>
  <si>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</si>
  <si>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</si>
  <si>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</si>
  <si>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</si>
  <si>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</si>
  <si>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</si>
  <si>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</si>
  <si>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</si>
  <si>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</si>
  <si>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</si>
  <si>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</si>
  <si>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</si>
  <si>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</si>
  <si>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</si>
  <si>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</si>
  <si>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</si>
  <si>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</si>
  <si>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</si>
  <si>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</si>
  <si>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</si>
  <si>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</si>
  <si>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</si>
  <si>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</si>
  <si>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</si>
  <si>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</si>
  <si>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</si>
  <si>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</si>
  <si>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</si>
  <si>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</si>
  <si>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</si>
  <si>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</si>
  <si>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</si>
  <si>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</si>
  <si>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</si>
  <si>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</si>
  <si>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</si>
  <si>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</si>
  <si>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</si>
  <si>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</si>
  <si>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</si>
  <si>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</si>
  <si>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</si>
  <si>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</si>
  <si>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</si>
  <si>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</si>
  <si>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</si>
  <si>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</si>
  <si>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</si>
  <si>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</si>
  <si>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</si>
  <si>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</si>
  <si>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</si>
  <si>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</si>
  <si>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</si>
  <si>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</si>
  <si>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</si>
  <si>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</si>
  <si>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</si>
  <si>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</si>
  <si>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</si>
  <si>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</si>
  <si>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</si>
  <si>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</si>
  <si>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</si>
  <si>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</si>
  <si>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</si>
  <si>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</si>
  <si>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</si>
  <si>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</si>
  <si>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</si>
  <si>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</si>
  <si>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</si>
  <si>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</si>
  <si>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</si>
  <si>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</si>
  <si>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</si>
  <si>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</si>
  <si>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</si>
  <si>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</si>
  <si>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</si>
  <si>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</si>
  <si>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</si>
  <si>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</si>
  <si>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</si>
  <si>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</si>
  <si>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</si>
  <si>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</si>
  <si>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</si>
  <si>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</si>
  <si>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</si>
  <si>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</si>
  <si>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</si>
  <si>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</si>
  <si>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</si>
  <si>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</si>
  <si>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</si>
  <si>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</si>
  <si>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</si>
  <si>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</si>
  <si>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</si>
  <si>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</si>
  <si>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</si>
  <si>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</si>
  <si>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</si>
  <si>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</si>
  <si>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</si>
  <si>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</si>
  <si>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</si>
  <si>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</si>
  <si>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</si>
  <si>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</si>
  <si>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</si>
  <si>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</si>
  <si>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</si>
  <si>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</si>
  <si>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</si>
  <si>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</si>
  <si>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</si>
  <si>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</si>
  <si>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</si>
  <si>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</si>
  <si>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</si>
  <si>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</si>
  <si>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</si>
  <si>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</si>
  <si>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</si>
  <si>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</si>
  <si>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</si>
  <si>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</si>
  <si>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</si>
  <si>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</si>
  <si>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</si>
  <si>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</si>
  <si>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</si>
  <si>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</si>
  <si>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</si>
  <si>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</si>
  <si>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</si>
  <si>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</si>
  <si>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</si>
  <si>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</si>
  <si>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</si>
  <si>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</si>
  <si>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</si>
  <si>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</si>
  <si>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</si>
  <si>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</si>
  <si>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</si>
  <si>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</si>
  <si>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</si>
  <si>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</si>
  <si>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</si>
  <si>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</si>
  <si>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</si>
  <si>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</si>
  <si>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</si>
  <si>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</si>
  <si>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</si>
  <si>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</si>
  <si>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</si>
  <si>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</si>
  <si>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</si>
  <si>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</si>
  <si>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</si>
  <si>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</si>
  <si>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</si>
  <si>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</si>
  <si>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</si>
  <si>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</si>
  <si>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</si>
  <si>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</si>
  <si>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</si>
  <si>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</si>
  <si>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</si>
  <si>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</si>
  <si>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</si>
  <si>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</si>
  <si>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</si>
  <si>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</si>
  <si>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</si>
  <si>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</si>
  <si>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</si>
  <si>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</si>
  <si>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</si>
  <si>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</si>
  <si>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</si>
  <si>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</si>
  <si>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</si>
  <si>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</si>
  <si>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</si>
  <si>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</si>
  <si>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</si>
  <si>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</si>
  <si>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</si>
  <si>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</si>
  <si>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</si>
  <si>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</si>
  <si>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</si>
  <si>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</si>
  <si>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</si>
  <si>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</si>
  <si>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</si>
  <si>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</si>
  <si>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</si>
  <si>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</si>
  <si>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</si>
  <si>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</si>
  <si>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</si>
  <si>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</si>
  <si>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</si>
  <si>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</si>
  <si>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</si>
  <si>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</si>
  <si>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</si>
  <si>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</si>
  <si>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</si>
  <si>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</si>
  <si>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</si>
  <si>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</si>
  <si>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</si>
  <si>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</si>
  <si>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</si>
  <si>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</si>
  <si>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</si>
  <si>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</si>
  <si>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</si>
  <si>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</si>
  <si>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</si>
  <si>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</si>
  <si>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</si>
  <si>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</si>
  <si>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</si>
  <si>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</si>
  <si>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</si>
  <si>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</si>
  <si>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</si>
  <si>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</si>
  <si>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</si>
  <si>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</si>
  <si>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</si>
  <si>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</si>
  <si>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</si>
  <si>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</si>
  <si>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</si>
  <si>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</si>
  <si>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</si>
  <si>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</si>
  <si>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</si>
  <si>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</si>
  <si>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</si>
  <si>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</si>
  <si>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</si>
  <si>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</si>
  <si>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</si>
  <si>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</si>
  <si>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</si>
  <si>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</si>
  <si>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</si>
  <si>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</si>
  <si>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</si>
  <si>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</si>
  <si>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</si>
  <si>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</si>
  <si>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</si>
  <si>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</si>
  <si>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</si>
  <si>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</si>
  <si>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</si>
  <si>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</si>
  <si>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</si>
  <si>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</si>
  <si>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</si>
  <si>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</si>
  <si>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</si>
  <si>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</si>
  <si>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</si>
  <si>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</si>
  <si>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</si>
  <si>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</si>
  <si>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</si>
  <si>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</si>
  <si>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</si>
  <si>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</si>
  <si>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</si>
  <si>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</si>
  <si>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</si>
  <si>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</si>
  <si>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</si>
  <si>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</si>
  <si>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</si>
  <si>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</si>
  <si>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</si>
  <si>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</si>
  <si>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</si>
  <si>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</si>
  <si>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</si>
  <si>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</si>
  <si>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</si>
  <si>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</si>
  <si>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</si>
  <si>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</si>
  <si>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</si>
  <si>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</si>
  <si>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</si>
  <si>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</si>
  <si>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</si>
  <si>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</si>
  <si>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</si>
  <si>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</si>
  <si>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</si>
  <si>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</si>
  <si>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</si>
  <si>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</si>
  <si>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</si>
  <si>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</si>
  <si>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</si>
  <si>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</si>
  <si>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</si>
  <si>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</si>
  <si>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</si>
  <si>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</si>
  <si>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</si>
  <si>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</si>
  <si>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</si>
  <si>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</si>
  <si>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</si>
  <si>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</si>
  <si>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</si>
  <si>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</si>
  <si>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</si>
  <si>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</si>
  <si>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</si>
  <si>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</si>
  <si>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</si>
  <si>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</si>
  <si>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</si>
  <si>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</si>
  <si>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</si>
  <si>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</si>
  <si>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</si>
  <si>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</si>
  <si>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</si>
  <si>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</si>
  <si>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</si>
  <si>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</si>
  <si>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</si>
  <si>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</si>
  <si>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</si>
  <si>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</si>
  <si>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</si>
  <si>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</si>
  <si>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</si>
  <si>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</si>
  <si>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</si>
  <si>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</si>
  <si>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</si>
  <si>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</si>
  <si>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</si>
  <si>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</si>
  <si>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</si>
  <si>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</si>
  <si>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</si>
  <si>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</si>
  <si>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</si>
  <si>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</si>
  <si>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</si>
  <si>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</si>
  <si>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</si>
  <si>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</si>
  <si>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</si>
  <si>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</si>
  <si>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</si>
  <si>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</si>
  <si>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</si>
  <si>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</si>
  <si>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</si>
  <si>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</si>
  <si>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</si>
  <si>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</si>
  <si>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</si>
  <si>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</si>
  <si>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</si>
  <si>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</si>
  <si>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</si>
  <si>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</si>
  <si>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</si>
  <si>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</si>
  <si>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</si>
  <si>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</si>
  <si>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</si>
  <si>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</si>
  <si>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</si>
  <si>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</si>
  <si>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</si>
  <si>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</si>
  <si>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</si>
  <si>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</si>
  <si>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</si>
  <si>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</si>
  <si>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</si>
  <si>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</si>
  <si>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</si>
  <si>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</si>
  <si>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</si>
  <si>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</si>
  <si>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</si>
  <si>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</si>
  <si>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</si>
  <si>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</si>
  <si>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</si>
  <si>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</si>
  <si>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</si>
  <si>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</si>
  <si>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</si>
  <si>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</si>
  <si>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</si>
  <si>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</si>
  <si>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</si>
  <si>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</si>
  <si>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</si>
  <si>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</si>
  <si>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</si>
  <si>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</si>
  <si>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</si>
  <si>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</si>
  <si>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</si>
  <si>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</si>
  <si>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</si>
  <si>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</si>
  <si>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</si>
  <si>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</si>
  <si>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</si>
  <si>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</si>
  <si>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</si>
  <si>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</si>
  <si>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</si>
  <si>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</si>
  <si>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</si>
  <si>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</si>
  <si>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</si>
  <si>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</si>
  <si>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</si>
  <si>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</si>
  <si>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</si>
  <si>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</si>
  <si>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</si>
  <si>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</si>
  <si>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</si>
  <si>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</si>
  <si>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</si>
  <si>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</si>
  <si>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</si>
  <si>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</si>
  <si>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</si>
  <si>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</si>
  <si>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</si>
  <si>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</si>
  <si>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</si>
  <si>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</si>
  <si>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</si>
  <si>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</si>
  <si>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</si>
  <si>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</si>
  <si>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</si>
  <si>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</si>
  <si>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</si>
  <si>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</si>
  <si>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</si>
  <si>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</si>
  <si>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</si>
  <si>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</si>
  <si>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</si>
  <si>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</si>
  <si>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</si>
  <si>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</si>
  <si>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</si>
  <si>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</si>
  <si>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</si>
  <si>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</si>
  <si>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</si>
  <si>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</si>
  <si>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</si>
  <si>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</si>
  <si>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</si>
  <si>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</si>
  <si>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</si>
  <si>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</si>
  <si>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</si>
  <si>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</si>
  <si>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</si>
  <si>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</si>
  <si>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</si>
  <si>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</si>
  <si>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</si>
  <si>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</si>
  <si>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</si>
  <si>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</si>
  <si>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</si>
  <si>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</si>
  <si>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</si>
  <si>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</si>
  <si>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</si>
  <si>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</si>
  <si>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</si>
  <si>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</si>
  <si>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</si>
  <si>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</si>
  <si>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</si>
  <si>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</si>
  <si>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</si>
  <si>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</si>
  <si>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</si>
  <si>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</si>
  <si>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</si>
  <si>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</si>
  <si>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</si>
  <si>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</si>
  <si>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</si>
  <si>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</si>
  <si>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</si>
  <si>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</si>
  <si>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</si>
  <si>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</si>
  <si>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</si>
  <si>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</si>
  <si>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</si>
  <si>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</si>
  <si>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</si>
  <si>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</si>
  <si>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</si>
  <si>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</si>
  <si>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</si>
  <si>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</si>
  <si>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</si>
  <si>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</si>
  <si>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</si>
  <si>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</si>
  <si>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</si>
  <si>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</si>
  <si>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</si>
  <si>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</si>
  <si>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</si>
  <si>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</si>
  <si>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</si>
  <si>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</si>
  <si>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</si>
  <si>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</si>
  <si>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</si>
  <si>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</si>
  <si>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</si>
  <si>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</si>
  <si>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</si>
  <si>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</si>
  <si>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</si>
  <si>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</si>
  <si>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</si>
  <si>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</si>
  <si>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</si>
  <si>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</si>
  <si>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</si>
  <si>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</si>
  <si>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</si>
  <si>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</si>
  <si>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</si>
  <si>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</si>
  <si>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</si>
  <si>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</si>
  <si>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</si>
  <si>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</si>
  <si>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</si>
  <si>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</si>
  <si>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</si>
  <si>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</si>
  <si>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</si>
  <si>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</si>
  <si>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</si>
  <si>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</si>
  <si>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</si>
  <si>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</si>
  <si>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</si>
  <si>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</si>
  <si>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</si>
  <si>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</si>
  <si>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</si>
  <si>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</si>
  <si>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</si>
  <si>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</si>
  <si>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</si>
  <si>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</si>
  <si>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</si>
  <si>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</si>
  <si>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</si>
  <si>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</si>
  <si>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</si>
  <si>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</si>
  <si>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</si>
  <si>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</si>
  <si>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</si>
  <si>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</si>
  <si>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</si>
  <si>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</si>
  <si>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</si>
  <si>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</si>
  <si>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</si>
  <si>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</si>
  <si>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</si>
  <si>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</si>
  <si>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</si>
  <si>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</si>
  <si>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</si>
  <si>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</si>
  <si>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</si>
  <si>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</si>
  <si>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</si>
  <si>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</si>
  <si>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</si>
  <si>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</si>
  <si>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</si>
  <si>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</si>
  <si>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</si>
  <si>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</si>
  <si>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</si>
  <si>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</si>
  <si>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</si>
  <si>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</si>
  <si>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</si>
  <si>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</si>
  <si>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</si>
  <si>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</si>
  <si>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</si>
  <si>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</si>
  <si>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</si>
  <si>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</si>
  <si>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</si>
  <si>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</si>
  <si>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</si>
  <si>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</si>
  <si>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</si>
  <si>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</si>
  <si>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</si>
  <si>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</si>
  <si>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</si>
  <si>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</si>
  <si>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</si>
  <si>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</si>
  <si>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</si>
  <si>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</si>
  <si>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</si>
  <si>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</si>
  <si>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</si>
  <si>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</si>
  <si>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</si>
  <si>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</si>
  <si>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</si>
  <si>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</si>
  <si>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</si>
  <si>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</si>
  <si>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</si>
  <si>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</si>
  <si>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</si>
  <si>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</si>
  <si>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</si>
  <si>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</si>
  <si>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</si>
  <si>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</si>
  <si>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</si>
  <si>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</si>
  <si>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</si>
  <si>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</si>
  <si>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</si>
  <si>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</si>
  <si>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</si>
  <si>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</si>
  <si>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</si>
  <si>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</si>
  <si>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</si>
  <si>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</si>
  <si>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</si>
  <si>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</si>
  <si>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</si>
  <si>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</si>
  <si>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</si>
  <si>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</si>
  <si>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</si>
  <si>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</si>
  <si>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</si>
  <si>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</si>
  <si>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</si>
  <si>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</si>
  <si>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</si>
  <si>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</si>
  <si>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</si>
  <si>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</si>
  <si>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</si>
  <si>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</si>
  <si>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</si>
  <si>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</si>
  <si>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</si>
  <si>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</si>
  <si>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</si>
  <si>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</si>
  <si>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</si>
  <si>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</si>
  <si>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</si>
  <si>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</si>
  <si>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</si>
  <si>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</si>
  <si>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</si>
  <si>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</si>
  <si>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</si>
  <si>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</si>
  <si>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</si>
  <si>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</si>
  <si>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</si>
  <si>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</si>
  <si>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</si>
  <si>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</si>
  <si>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</si>
  <si>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</si>
  <si>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</si>
  <si>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</si>
  <si>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</si>
  <si>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</si>
  <si>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</si>
  <si>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</si>
  <si>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</si>
  <si>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</si>
  <si>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</si>
  <si>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</si>
  <si>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</si>
  <si>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</si>
  <si>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</si>
  <si>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</si>
  <si>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</si>
  <si>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</si>
  <si>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</si>
  <si>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</si>
  <si>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</si>
  <si>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</si>
  <si>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</si>
  <si>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</si>
  <si>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</si>
  <si>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</si>
  <si>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</si>
  <si>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</si>
  <si>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</si>
  <si>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</si>
  <si>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</si>
  <si>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</si>
  <si>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</si>
  <si>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</si>
  <si>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</si>
  <si>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</si>
  <si>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</si>
  <si>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</si>
  <si>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</si>
  <si>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</si>
  <si>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</si>
  <si>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</si>
  <si>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</si>
  <si>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</si>
  <si>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</si>
  <si>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</si>
  <si>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</si>
  <si>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</si>
  <si>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</si>
  <si>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</si>
  <si>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</si>
  <si>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</si>
  <si>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</si>
  <si>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</si>
  <si>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</si>
  <si>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</si>
  <si>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</si>
  <si>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</si>
  <si>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</si>
  <si>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</si>
  <si>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</si>
  <si>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</si>
  <si>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</si>
  <si>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</si>
  <si>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</si>
  <si>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</si>
  <si>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</si>
  <si>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</si>
  <si>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</si>
  <si>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</si>
  <si>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</si>
  <si>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</si>
  <si>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</si>
  <si>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</si>
  <si>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</si>
  <si>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</si>
  <si>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</si>
  <si>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</si>
  <si>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</si>
  <si>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</si>
  <si>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</si>
  <si>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</si>
  <si>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</si>
  <si>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</si>
  <si>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</si>
  <si>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</si>
  <si>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</si>
  <si>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</si>
  <si>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</si>
  <si>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</si>
  <si>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</si>
  <si>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</si>
  <si>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</si>
  <si>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</si>
  <si>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</si>
  <si>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</si>
  <si>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</si>
  <si>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</si>
  <si>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</si>
  <si>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</si>
  <si>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</si>
  <si>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</si>
  <si>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</si>
  <si>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</si>
  <si>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</si>
  <si>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</si>
  <si>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</si>
  <si>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</si>
  <si>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</si>
  <si>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</si>
  <si>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</si>
  <si>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</si>
  <si>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</si>
  <si>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</si>
  <si>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</si>
  <si>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</si>
  <si>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</si>
  <si>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</si>
  <si>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</si>
  <si>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</si>
  <si>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</si>
  <si>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</si>
  <si>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</si>
  <si>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</si>
  <si>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</si>
  <si>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</si>
  <si>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</si>
  <si>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</si>
  <si>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</si>
  <si>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</si>
  <si>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</si>
  <si>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</si>
  <si>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</si>
  <si>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</si>
  <si>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</si>
  <si>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</si>
  <si>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</si>
  <si>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</si>
  <si>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</si>
  <si>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</si>
  <si>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</si>
  <si>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</si>
  <si>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</si>
  <si>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</si>
  <si>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</si>
  <si>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</si>
  <si>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</si>
  <si>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</si>
  <si>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</si>
  <si>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</si>
  <si>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</si>
  <si>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</si>
  <si>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</si>
  <si>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</si>
  <si>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</si>
  <si>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</si>
  <si>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</si>
  <si>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</si>
  <si>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</si>
  <si>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</si>
  <si>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</si>
  <si>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</si>
  <si>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</si>
  <si>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</si>
  <si>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</si>
  <si>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</si>
  <si>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</si>
  <si>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</si>
  <si>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</si>
  <si>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</si>
  <si>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</si>
  <si>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</si>
  <si>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</si>
  <si>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</si>
  <si>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</si>
  <si>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</si>
  <si>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</si>
  <si>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</si>
  <si>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</si>
  <si>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</si>
  <si>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</si>
  <si>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</si>
  <si>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</si>
  <si>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</si>
  <si>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</si>
  <si>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</si>
  <si>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</si>
  <si>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</si>
  <si>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</si>
  <si>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</si>
  <si>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</si>
  <si>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</si>
  <si>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</si>
  <si>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</si>
  <si>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</si>
  <si>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</si>
  <si>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</si>
  <si>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</si>
  <si>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</si>
  <si>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</si>
  <si>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</si>
  <si>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</si>
  <si>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</si>
  <si>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</si>
  <si>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</si>
  <si>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</si>
  <si>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</si>
  <si>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</si>
  <si>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</si>
  <si>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</si>
  <si>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</si>
  <si>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</si>
  <si>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</si>
  <si>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</si>
  <si>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</si>
  <si>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</si>
  <si>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</si>
  <si>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</si>
  <si>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</si>
  <si>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</si>
  <si>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</si>
  <si>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</si>
  <si>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</si>
  <si>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</si>
  <si>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</si>
  <si>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</si>
  <si>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</si>
  <si>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</si>
  <si>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</si>
  <si>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</si>
  <si>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</si>
  <si>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</si>
  <si>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</si>
  <si>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</si>
  <si>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</si>
  <si>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</si>
  <si>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</si>
  <si>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</si>
  <si>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</si>
  <si>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</si>
  <si>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</si>
  <si>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</si>
  <si>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</si>
  <si>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</si>
  <si>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</si>
  <si>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</si>
  <si>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</si>
  <si>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</si>
  <si>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</si>
  <si>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</si>
  <si>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</si>
  <si>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</si>
  <si>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</si>
  <si>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</si>
  <si>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</si>
  <si>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</si>
  <si>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</si>
  <si>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</si>
  <si>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</si>
  <si>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</si>
  <si>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</si>
  <si>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</si>
  <si>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</si>
  <si>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</si>
  <si>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</si>
  <si>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</si>
  <si>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</si>
  <si>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</si>
  <si>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</si>
  <si>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</si>
  <si>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</si>
  <si>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</si>
  <si>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</si>
  <si>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</si>
  <si>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</si>
  <si>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</si>
  <si>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</si>
  <si>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</si>
  <si>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</si>
  <si>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</si>
  <si>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</si>
  <si>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</si>
  <si>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</si>
  <si>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</si>
  <si>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</si>
  <si>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</si>
  <si>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</si>
  <si>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</si>
  <si>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</si>
  <si>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</si>
  <si>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</si>
  <si>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</si>
  <si>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</si>
  <si>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</si>
  <si>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</si>
  <si>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</si>
  <si>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</si>
  <si>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</si>
  <si>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</si>
  <si>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</si>
  <si>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</si>
  <si>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</si>
  <si>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</si>
  <si>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</si>
  <si>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</si>
  <si>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</si>
  <si>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</si>
  <si>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</si>
  <si>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</si>
  <si>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</si>
  <si>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</si>
  <si>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</si>
  <si>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</si>
  <si>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</si>
  <si>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</si>
  <si>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</si>
  <si>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</si>
  <si>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</si>
  <si>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</si>
  <si>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</si>
  <si>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</si>
  <si>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</si>
  <si>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</si>
  <si>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</si>
  <si>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</si>
  <si>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</si>
  <si>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</si>
  <si>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</si>
  <si>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</si>
  <si>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</si>
  <si>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</si>
  <si>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</si>
  <si>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</si>
  <si>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</si>
  <si>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</si>
  <si>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</si>
  <si>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</si>
  <si>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</si>
  <si>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</si>
  <si>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</si>
  <si>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</si>
  <si>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</si>
  <si>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</si>
  <si>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</si>
  <si>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</si>
  <si>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</si>
  <si>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</si>
  <si>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</si>
  <si>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</si>
  <si>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</si>
  <si>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</si>
  <si>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</si>
  <si>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</si>
  <si>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</si>
  <si>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</si>
  <si>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</si>
  <si>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</si>
  <si>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</si>
  <si>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</si>
  <si>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</si>
  <si>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</si>
  <si>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</si>
  <si>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</si>
  <si>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</si>
  <si>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</si>
  <si>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</si>
  <si>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</si>
  <si>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</si>
  <si>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</si>
  <si>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</si>
  <si>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</si>
  <si>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</si>
  <si>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</si>
  <si>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</si>
  <si>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</si>
  <si>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</si>
  <si>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</si>
  <si>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</si>
  <si>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</si>
  <si>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</si>
  <si>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</si>
  <si>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</si>
  <si>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</si>
  <si>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</si>
  <si>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</si>
  <si>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</si>
  <si>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</si>
  <si>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</si>
  <si>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</si>
  <si>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</si>
  <si>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</si>
  <si>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</si>
  <si>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</si>
  <si>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</si>
  <si>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</si>
  <si>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</si>
  <si>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</si>
  <si>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</si>
  <si>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</si>
  <si>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</si>
  <si>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</si>
  <si>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</si>
  <si>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</si>
  <si>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</si>
  <si>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</si>
  <si>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</si>
  <si>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</si>
  <si>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</si>
  <si>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</si>
  <si>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</si>
  <si>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</si>
  <si>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</si>
  <si>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</si>
  <si>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</si>
  <si>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</si>
  <si>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</si>
  <si>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</si>
  <si>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</si>
  <si>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</si>
  <si>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</si>
  <si>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</si>
  <si>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</si>
  <si>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</si>
  <si>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</si>
  <si>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</si>
  <si>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</si>
  <si>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</si>
  <si>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</si>
  <si>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</si>
  <si>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</si>
  <si>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</si>
  <si>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</si>
  <si>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</si>
  <si>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</si>
  <si>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</si>
  <si>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</si>
  <si>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</si>
  <si>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</si>
  <si>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</si>
  <si>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</si>
  <si>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</si>
  <si>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</si>
  <si>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</si>
  <si>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</si>
  <si>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</si>
  <si>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</si>
  <si>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</si>
  <si>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</si>
  <si>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</si>
  <si>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</si>
  <si>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</si>
  <si>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</si>
  <si>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</si>
  <si>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</si>
  <si>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</si>
  <si>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</si>
  <si>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</si>
  <si>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</si>
  <si>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</si>
  <si>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</si>
  <si>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</si>
  <si>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</si>
  <si>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</si>
  <si>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</si>
  <si>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</si>
  <si>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</si>
  <si>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</si>
  <si>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</si>
  <si>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</si>
  <si>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</si>
  <si>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</si>
  <si>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</si>
  <si>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</si>
  <si>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</si>
  <si>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</si>
  <si>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</si>
  <si>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</si>
  <si>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</si>
  <si>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</si>
  <si>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</si>
  <si>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</si>
  <si>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</si>
  <si>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</si>
  <si>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</si>
  <si>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</si>
  <si>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</si>
  <si>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</si>
  <si>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</si>
  <si>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</si>
  <si>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</si>
  <si>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</si>
  <si>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</si>
  <si>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</si>
  <si>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</si>
  <si>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</si>
  <si>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</si>
  <si>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</si>
  <si>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</si>
  <si>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</si>
  <si>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</si>
  <si>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</si>
  <si>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</si>
  <si>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</si>
  <si>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</si>
  <si>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</si>
  <si>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</si>
  <si>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</si>
  <si>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</si>
  <si>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</si>
  <si>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</si>
  <si>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</si>
  <si>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</si>
  <si>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</si>
  <si>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</si>
  <si>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</si>
  <si>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</si>
  <si>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</si>
  <si>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</si>
  <si>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</si>
  <si>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</si>
  <si>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</si>
  <si>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</si>
  <si>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</si>
  <si>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</si>
  <si>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</si>
  <si>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</si>
  <si>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</si>
  <si>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</si>
  <si>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</si>
  <si>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</si>
  <si>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</si>
  <si>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</si>
  <si>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</si>
  <si>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</si>
  <si>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</si>
  <si>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</si>
  <si>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</si>
  <si>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</si>
  <si>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</si>
  <si>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</si>
  <si>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</si>
  <si>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</si>
  <si>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</si>
  <si>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</si>
  <si>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</si>
  <si>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</si>
  <si>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</si>
  <si>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</si>
  <si>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</si>
  <si>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</si>
  <si>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</si>
  <si>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</si>
  <si>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</si>
  <si>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</si>
  <si>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</si>
  <si>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</si>
  <si>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</si>
  <si>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</si>
  <si>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</si>
  <si>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</si>
  <si>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</si>
  <si>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</si>
  <si>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</si>
  <si>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</si>
  <si>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</si>
  <si>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</si>
  <si>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</si>
  <si>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</si>
  <si>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</si>
  <si>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</si>
  <si>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</si>
  <si>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</si>
  <si>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</si>
  <si>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</si>
  <si>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</si>
  <si>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</si>
  <si>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</si>
  <si>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</si>
  <si>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</si>
  <si>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</si>
  <si>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</si>
  <si>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</si>
  <si>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</si>
  <si>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</si>
  <si>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</si>
  <si>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</si>
  <si>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</si>
  <si>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</si>
  <si>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</si>
  <si>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</si>
  <si>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</si>
  <si>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</si>
  <si>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</si>
  <si>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</si>
  <si>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</si>
  <si>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</si>
  <si>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</si>
  <si>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</si>
  <si>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</si>
  <si>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</si>
  <si>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</si>
  <si>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</si>
  <si>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</si>
  <si>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</si>
  <si>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</si>
  <si>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</si>
  <si>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</si>
  <si>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</si>
  <si>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</si>
  <si>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</si>
  <si>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</si>
  <si>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</si>
  <si>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</si>
  <si>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</si>
  <si>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</si>
  <si>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</si>
  <si>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</si>
  <si>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</si>
  <si>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</si>
  <si>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</si>
  <si>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</si>
  <si>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</si>
  <si>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</si>
  <si>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</si>
  <si>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</si>
  <si>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</si>
  <si>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</si>
  <si>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</si>
  <si>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</si>
  <si>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</si>
  <si>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</si>
  <si>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</si>
  <si>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</si>
  <si>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</si>
  <si>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</si>
  <si>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</si>
  <si>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</si>
  <si>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</si>
  <si>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</si>
  <si>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</si>
  <si>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</si>
  <si>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</si>
  <si>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</si>
  <si>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</si>
  <si>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</si>
  <si>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</si>
  <si>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</si>
  <si>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</si>
  <si>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</si>
  <si>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</si>
  <si>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</si>
  <si>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</si>
  <si>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</si>
  <si>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</si>
  <si>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</si>
  <si>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</si>
  <si>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</si>
  <si>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</si>
  <si>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</si>
  <si>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</si>
  <si>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</si>
  <si>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</si>
  <si>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</si>
  <si>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</si>
  <si>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</si>
  <si>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</si>
  <si>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</si>
  <si>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</si>
  <si>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</si>
  <si>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</si>
  <si>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</si>
  <si>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</si>
  <si>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</si>
  <si>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</si>
  <si>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</si>
  <si>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</si>
  <si>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</si>
  <si>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</si>
  <si>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</si>
  <si>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</si>
  <si>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</si>
  <si>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</si>
  <si>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</si>
  <si>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</si>
  <si>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</si>
  <si>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</si>
  <si>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</si>
  <si>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</si>
  <si>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</si>
  <si>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</si>
  <si>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</si>
  <si>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</si>
  <si>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</si>
  <si>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</si>
  <si>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</si>
  <si>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</si>
  <si>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</si>
  <si>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</si>
  <si>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</si>
  <si>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</si>
  <si>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</si>
  <si>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</si>
  <si>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</si>
  <si>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</si>
  <si>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</si>
  <si>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</si>
  <si>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</si>
  <si>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</si>
  <si>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</si>
  <si>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</si>
  <si>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</si>
  <si>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</si>
  <si>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</si>
  <si>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</si>
  <si>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</si>
  <si>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</si>
  <si>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</si>
  <si>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</si>
  <si>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</si>
  <si>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</si>
  <si>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</si>
  <si>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</si>
  <si>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</si>
  <si>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</si>
  <si>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</si>
  <si>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</si>
  <si>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</si>
  <si>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</si>
  <si>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</si>
  <si>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</si>
  <si>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</si>
  <si>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</si>
  <si>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</si>
  <si>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</si>
  <si>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</si>
  <si>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</si>
  <si>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</si>
  <si>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</si>
  <si>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</si>
  <si>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</si>
  <si>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</si>
  <si>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</si>
  <si>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</si>
  <si>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</si>
  <si>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</si>
  <si>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</si>
  <si>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</si>
  <si>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</si>
  <si>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</si>
  <si>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</si>
  <si>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</si>
  <si>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</si>
  <si>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</si>
  <si>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</si>
  <si>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</si>
  <si>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</si>
  <si>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</si>
  <si>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</si>
  <si>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</si>
  <si>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</si>
  <si>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</si>
  <si>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</si>
  <si>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</si>
  <si>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</si>
  <si>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</si>
  <si>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</si>
  <si>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</si>
  <si>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</si>
  <si>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</si>
  <si>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</si>
  <si>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</si>
  <si>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</si>
  <si>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</si>
  <si>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</si>
  <si>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</si>
  <si>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</si>
  <si>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</si>
  <si>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</si>
  <si>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</si>
  <si>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</si>
  <si>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</si>
  <si>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</si>
  <si>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</si>
  <si>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</si>
  <si>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</si>
  <si>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</si>
  <si>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</si>
  <si>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</si>
  <si>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</si>
  <si>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</si>
  <si>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</si>
  <si>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</si>
  <si>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</si>
  <si>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</si>
  <si>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</si>
  <si>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</si>
  <si>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</si>
  <si>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</si>
  <si>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</si>
  <si>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</si>
  <si>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</si>
  <si>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</si>
  <si>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</si>
  <si>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</si>
  <si>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</si>
  <si>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</si>
  <si>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</si>
  <si>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</si>
  <si>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</si>
  <si>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</si>
  <si>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</si>
  <si>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</si>
  <si>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</si>
  <si>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</si>
  <si>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</si>
  <si>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</si>
  <si>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</si>
  <si>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</si>
  <si>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</si>
  <si>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</si>
  <si>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</si>
  <si>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</si>
  <si>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</si>
  <si>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</si>
  <si>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</si>
  <si>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</si>
  <si>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</si>
  <si>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</si>
  <si>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</si>
  <si>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</si>
  <si>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</si>
  <si>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</si>
  <si>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</si>
  <si>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</si>
  <si>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</si>
  <si>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</si>
  <si>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</si>
  <si>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</si>
  <si>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</si>
  <si>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</si>
  <si>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</si>
  <si>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</si>
  <si>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</si>
  <si>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</si>
  <si>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</si>
  <si>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</si>
  <si>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</si>
  <si>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</si>
  <si>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</si>
  <si>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</si>
  <si>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</si>
  <si>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</si>
  <si>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</si>
  <si>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</si>
  <si>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</si>
  <si>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</si>
  <si>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</si>
  <si>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</si>
  <si>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</si>
  <si>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</si>
  <si>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</si>
  <si>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</si>
  <si>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</si>
  <si>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</si>
  <si>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</si>
  <si>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</si>
  <si>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</si>
  <si>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</si>
  <si>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</si>
  <si>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</si>
  <si>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</si>
  <si>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</si>
  <si>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</si>
  <si>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</si>
  <si>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</si>
  <si>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</si>
  <si>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</si>
  <si>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</si>
  <si>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</si>
  <si>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</si>
  <si>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</si>
  <si>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</si>
  <si>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</si>
  <si>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</si>
  <si>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</si>
  <si>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</si>
  <si>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</si>
  <si>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</si>
  <si>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</si>
  <si>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</si>
  <si>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</si>
  <si>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</si>
  <si>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</si>
  <si>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</si>
  <si>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</si>
  <si>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</si>
  <si>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</si>
  <si>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</si>
  <si>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</si>
  <si>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</si>
  <si>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</si>
  <si>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</si>
  <si>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</si>
  <si>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</si>
  <si>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</si>
  <si>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</si>
  <si>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</si>
  <si>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</si>
  <si>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</si>
  <si>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</si>
  <si>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</si>
  <si>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</si>
  <si>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</si>
  <si>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</si>
  <si>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</si>
  <si>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</si>
  <si>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</si>
  <si>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</si>
  <si>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</si>
  <si>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</si>
  <si>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</si>
  <si>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</si>
  <si>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</si>
  <si>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</si>
  <si>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</si>
  <si>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</si>
  <si>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</si>
  <si>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</si>
  <si>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</si>
  <si>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</si>
  <si>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</si>
  <si>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</si>
  <si>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</si>
  <si>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</si>
  <si>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</si>
  <si>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</si>
  <si>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</si>
  <si>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</si>
  <si>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</si>
  <si>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</si>
  <si>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</si>
  <si>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</si>
  <si>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</si>
  <si>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</si>
  <si>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</si>
  <si>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</si>
  <si>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</si>
  <si>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</si>
  <si>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</si>
  <si>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</si>
  <si>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</si>
  <si>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</si>
  <si>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</si>
  <si>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</si>
  <si>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</si>
  <si>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</si>
  <si>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</si>
  <si>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</si>
  <si>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</si>
  <si>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</si>
  <si>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</si>
  <si>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</si>
  <si>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</si>
  <si>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</si>
  <si>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</si>
  <si>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</si>
  <si>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</si>
  <si>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</si>
  <si>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</si>
  <si>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</si>
  <si>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</si>
  <si>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</si>
  <si>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</si>
  <si>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</si>
  <si>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</si>
  <si>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</si>
  <si>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</si>
  <si>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</si>
  <si>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</si>
  <si>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</si>
  <si>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</si>
  <si>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</si>
  <si>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</si>
  <si>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</si>
  <si>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</si>
  <si>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</si>
  <si>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</si>
  <si>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</si>
  <si>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</si>
  <si>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</si>
  <si>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</si>
  <si>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</si>
  <si>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</si>
  <si>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</si>
  <si>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</si>
  <si>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</si>
  <si>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</si>
  <si>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</si>
  <si>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</si>
  <si>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</si>
  <si>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</si>
  <si>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</si>
  <si>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</si>
  <si>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</si>
  <si>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</si>
  <si>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</si>
  <si>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</si>
  <si>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</si>
  <si>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</si>
  <si>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</si>
  <si>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</si>
  <si>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</si>
  <si>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</si>
  <si>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</si>
  <si>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</si>
  <si>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</si>
  <si>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</si>
  <si>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</si>
  <si>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</si>
  <si>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</si>
  <si>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</si>
  <si>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</si>
  <si>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</si>
  <si>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</si>
  <si>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</si>
  <si>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</si>
  <si>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</si>
  <si>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</si>
  <si>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</si>
  <si>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</si>
  <si>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</si>
  <si>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</si>
  <si>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</si>
  <si>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</si>
  <si>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</si>
  <si>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</si>
  <si>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</si>
  <si>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</si>
  <si>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</si>
  <si>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</si>
  <si>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</si>
  <si>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</si>
  <si>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</si>
  <si>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</si>
  <si>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</si>
  <si>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</si>
  <si>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</si>
  <si>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</si>
  <si>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</si>
  <si>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</si>
  <si>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</si>
  <si>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</si>
  <si>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</si>
  <si>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</si>
  <si>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</si>
  <si>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</si>
  <si>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</si>
  <si>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</si>
  <si>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</si>
  <si>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</si>
  <si>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</si>
  <si>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</si>
  <si>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</si>
  <si>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</si>
  <si>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</si>
  <si>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</si>
  <si>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</si>
  <si>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</si>
  <si>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</si>
  <si>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</si>
  <si>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</si>
  <si>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</si>
  <si>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</si>
  <si>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</si>
  <si>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</si>
  <si>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</si>
  <si>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</si>
  <si>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</si>
  <si>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</si>
  <si>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</si>
  <si>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</si>
  <si>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</si>
  <si>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</si>
  <si>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</si>
  <si>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</si>
  <si>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</si>
  <si>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</si>
  <si>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</si>
  <si>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</si>
  <si>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</si>
  <si>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</si>
  <si>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</si>
  <si>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</si>
  <si>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</si>
  <si>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</si>
  <si>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</si>
  <si>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</si>
  <si>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</si>
  <si>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</si>
  <si>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</si>
  <si>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</si>
  <si>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</si>
  <si>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</si>
  <si>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</si>
  <si>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</si>
  <si>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</si>
  <si>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</si>
  <si>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</si>
  <si>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</si>
  <si>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</si>
  <si>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</si>
  <si>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</si>
  <si>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</si>
  <si>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</si>
  <si>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</si>
  <si>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</si>
  <si>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</si>
  <si>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</si>
  <si>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</si>
  <si>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</si>
  <si>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</si>
  <si>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</si>
  <si>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</si>
  <si>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</si>
  <si>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</si>
  <si>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</si>
  <si>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</si>
  <si>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</si>
  <si>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</si>
  <si>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</si>
  <si>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</si>
  <si>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</si>
  <si>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</si>
  <si>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</si>
  <si>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</si>
  <si>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</si>
  <si>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</si>
  <si>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</si>
  <si>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</si>
  <si>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</si>
  <si>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</si>
  <si>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</si>
  <si>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</si>
  <si>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</si>
  <si>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</si>
  <si>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</si>
  <si>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</si>
  <si>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</si>
  <si>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</si>
  <si>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</si>
  <si>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</si>
  <si>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</si>
  <si>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</si>
  <si>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</si>
  <si>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</si>
  <si>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</si>
  <si>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</si>
  <si>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</si>
  <si>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</si>
  <si>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</si>
  <si>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</si>
  <si>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</si>
  <si>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</si>
  <si>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</si>
  <si>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</si>
  <si>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</si>
  <si>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</si>
  <si>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</si>
  <si>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</si>
  <si>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</si>
  <si>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</si>
  <si>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</si>
  <si>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</si>
  <si>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</si>
  <si>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</si>
  <si>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</si>
  <si>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</si>
  <si>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</si>
  <si>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</si>
  <si>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</si>
  <si>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</si>
  <si>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</si>
  <si>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</si>
  <si>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</si>
  <si>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</si>
  <si>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</si>
  <si>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</si>
  <si>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</si>
  <si>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</si>
  <si>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</si>
  <si>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</si>
  <si>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</si>
  <si>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</si>
  <si>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</si>
  <si>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</si>
  <si>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</si>
  <si>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</si>
  <si>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</si>
  <si>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</si>
  <si>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</si>
  <si>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</si>
  <si>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</si>
  <si>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</si>
  <si>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</si>
  <si>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</si>
  <si>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</si>
  <si>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</si>
  <si>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</si>
  <si>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</si>
  <si>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</si>
  <si>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</si>
  <si>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</si>
  <si>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</si>
  <si>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</si>
  <si>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</si>
  <si>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</si>
  <si>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</si>
  <si>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</si>
  <si>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</si>
  <si>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</si>
  <si>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</si>
  <si>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</si>
  <si>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</si>
  <si>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</si>
  <si>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</si>
  <si>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</si>
  <si>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</si>
  <si>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</si>
  <si>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</si>
  <si>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</si>
  <si>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</si>
  <si>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</si>
  <si>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</si>
  <si>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</si>
  <si>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</si>
  <si>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</si>
  <si>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</si>
  <si>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</si>
  <si>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</si>
  <si>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</si>
  <si>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</si>
  <si>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</si>
  <si>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</si>
  <si>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</si>
  <si>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</si>
  <si>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</si>
  <si>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</si>
  <si>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</si>
  <si>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</si>
  <si>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</si>
  <si>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</si>
  <si>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</si>
  <si>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</si>
  <si>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</si>
  <si>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</si>
  <si>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</si>
  <si>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</si>
  <si>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</si>
  <si>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</si>
  <si>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</si>
  <si>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</si>
  <si>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</si>
  <si>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</si>
  <si>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</si>
  <si>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</si>
  <si>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</si>
  <si>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</si>
  <si>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</si>
  <si>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</si>
  <si>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</si>
  <si>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</si>
  <si>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</si>
  <si>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</si>
  <si>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</si>
  <si>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</si>
  <si>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</si>
  <si>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</si>
  <si>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</si>
  <si>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</si>
  <si>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</si>
  <si>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</si>
  <si>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</si>
  <si>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</si>
  <si>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</si>
  <si>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</si>
  <si>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</si>
  <si>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</si>
  <si>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</si>
  <si>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</si>
  <si>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</si>
  <si>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</si>
  <si>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</si>
  <si>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</si>
  <si>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</si>
  <si>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</si>
  <si>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</si>
  <si>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</si>
  <si>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</si>
  <si>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</si>
  <si>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</si>
  <si>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</si>
  <si>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</si>
  <si>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</si>
  <si>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</si>
  <si>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</si>
  <si>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</si>
  <si>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</si>
  <si>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</si>
  <si>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</si>
  <si>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</si>
  <si>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</si>
  <si>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</si>
  <si>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</si>
  <si>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</si>
  <si>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</si>
  <si>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</si>
  <si>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</si>
  <si>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</si>
  <si>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</si>
  <si>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</si>
  <si>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</si>
  <si>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</si>
  <si>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</si>
  <si>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</si>
  <si>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</si>
  <si>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</si>
  <si>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</si>
  <si>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</si>
  <si>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</si>
  <si>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</si>
  <si>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</si>
  <si>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</si>
  <si>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</si>
  <si>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</si>
  <si>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</si>
  <si>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</si>
  <si>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</si>
  <si>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</si>
  <si>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</si>
  <si>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</si>
  <si>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</si>
  <si>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</si>
  <si>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</si>
  <si>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</si>
  <si>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</si>
  <si>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</si>
  <si>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</si>
  <si>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</si>
  <si>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</si>
  <si>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</si>
  <si>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</si>
  <si>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</si>
  <si>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</si>
  <si>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</si>
  <si>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</si>
  <si>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</si>
  <si>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</si>
  <si>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</si>
  <si>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</si>
  <si>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</si>
  <si>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</si>
  <si>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</si>
  <si>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</si>
  <si>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</si>
  <si>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</si>
  <si>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</si>
  <si>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</si>
  <si>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</si>
  <si>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</si>
  <si>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</si>
  <si>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</si>
  <si>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</si>
  <si>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</si>
  <si>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</si>
  <si>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</si>
  <si>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</si>
  <si>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</si>
  <si>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</si>
  <si>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</si>
  <si>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</si>
  <si>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</si>
  <si>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</si>
  <si>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</si>
  <si>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</si>
  <si>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</si>
  <si>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</si>
  <si>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</si>
  <si>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</si>
  <si>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</si>
  <si>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</si>
  <si>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</si>
  <si>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</si>
  <si>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</si>
  <si>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</si>
  <si>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</si>
  <si>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</si>
  <si>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</si>
  <si>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</si>
  <si>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</si>
  <si>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</si>
  <si>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</si>
  <si>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</si>
  <si>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</si>
  <si>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</si>
  <si>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</si>
  <si>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</si>
  <si>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</si>
  <si>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</si>
  <si>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</si>
  <si>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</si>
  <si>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</si>
  <si>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</si>
  <si>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</si>
  <si>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</si>
  <si>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</si>
  <si>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</si>
  <si>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</si>
  <si>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</si>
  <si>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</si>
  <si>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</si>
  <si>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</si>
  <si>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</si>
  <si>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</si>
  <si>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</si>
  <si>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</si>
  <si>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</si>
  <si>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</si>
  <si>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</si>
  <si>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</si>
  <si>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</si>
  <si>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</si>
  <si>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</si>
  <si>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</si>
  <si>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</si>
  <si>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</si>
  <si>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</si>
  <si>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</si>
  <si>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</si>
  <si>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</si>
  <si>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</si>
  <si>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</si>
  <si>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</si>
  <si>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</si>
  <si>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</si>
  <si>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</si>
  <si>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</si>
  <si>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</si>
  <si>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</si>
  <si>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</si>
  <si>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</si>
  <si>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</si>
  <si>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</si>
  <si>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</si>
  <si>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</si>
  <si>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</si>
  <si>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</si>
  <si>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</si>
  <si>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</si>
  <si>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</si>
  <si>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</si>
  <si>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</si>
  <si>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</si>
  <si>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</si>
  <si>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</si>
  <si>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</si>
  <si>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</si>
  <si>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</si>
  <si>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</si>
  <si>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</si>
  <si>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</si>
  <si>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</si>
  <si>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</si>
  <si>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</si>
  <si>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</si>
  <si>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</si>
  <si>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</si>
  <si>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</si>
  <si>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</si>
  <si>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</si>
  <si>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</si>
  <si>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</si>
  <si>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</si>
  <si>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</si>
  <si>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</si>
  <si>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</si>
  <si>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</si>
  <si>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</si>
  <si>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</si>
  <si>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</si>
  <si>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</si>
  <si>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</si>
  <si>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</si>
  <si>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</si>
  <si>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</si>
  <si>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</si>
  <si>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</si>
  <si>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</si>
  <si>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</si>
  <si>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</si>
  <si>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</si>
  <si>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</si>
  <si>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</si>
  <si>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</si>
  <si>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</si>
  <si>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</si>
  <si>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</si>
  <si>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</si>
  <si>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</si>
  <si>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</si>
  <si>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</si>
  <si>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</si>
  <si>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</si>
  <si>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</si>
  <si>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</si>
  <si>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</si>
  <si>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</si>
  <si>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</si>
  <si>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</si>
  <si>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</si>
  <si>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</si>
  <si>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</si>
  <si>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</si>
  <si>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</si>
  <si>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</si>
  <si>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</si>
  <si>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</si>
  <si>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</si>
  <si>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</si>
  <si>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</si>
  <si>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</si>
  <si>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</si>
  <si>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</si>
  <si>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</si>
  <si>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</si>
  <si>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</si>
  <si>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</si>
  <si>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</si>
  <si>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</si>
  <si>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</si>
  <si>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</si>
  <si>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</si>
  <si>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</si>
  <si>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</si>
  <si>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</si>
  <si>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</si>
  <si>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</si>
  <si>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</si>
  <si>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</si>
  <si>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</si>
  <si>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</si>
  <si>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</si>
  <si>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</si>
  <si>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</si>
  <si>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</si>
  <si>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</si>
  <si>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</si>
  <si>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</si>
  <si>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</si>
  <si>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</si>
  <si>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</si>
  <si>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</si>
  <si>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</si>
  <si>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</si>
  <si>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</si>
  <si>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</si>
  <si>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</si>
  <si>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</si>
  <si>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</si>
  <si>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</si>
  <si>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</si>
  <si>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</si>
  <si>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</si>
  <si>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</si>
  <si>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</si>
  <si>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</si>
  <si>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</si>
  <si>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</si>
  <si>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</si>
  <si>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</si>
  <si>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</si>
  <si>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</si>
  <si>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</si>
  <si>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</si>
  <si>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</si>
  <si>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</si>
  <si>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</si>
  <si>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</si>
  <si>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</si>
  <si>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</si>
  <si>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</si>
  <si>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</si>
  <si>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</si>
  <si>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</si>
  <si>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</si>
  <si>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</si>
  <si>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</si>
  <si>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</si>
  <si>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</si>
  <si>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</si>
  <si>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</si>
  <si>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</si>
  <si>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</si>
  <si>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</si>
  <si>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</si>
  <si>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</si>
  <si>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</si>
  <si>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</si>
  <si>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</si>
  <si>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</si>
  <si>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</si>
  <si>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</si>
  <si>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</si>
  <si>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</si>
  <si>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</si>
  <si>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</si>
  <si>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</si>
  <si>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</si>
  <si>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</si>
  <si>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</si>
  <si>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</si>
  <si>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</si>
  <si>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</si>
  <si>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</si>
  <si>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</si>
  <si>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</si>
  <si>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</si>
  <si>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</si>
  <si>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</si>
  <si>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</si>
  <si>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</si>
  <si>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</si>
  <si>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</si>
  <si>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</si>
  <si>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</si>
  <si>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</si>
  <si>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</si>
  <si>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</si>
  <si>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</si>
  <si>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</si>
  <si>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</si>
  <si>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</si>
  <si>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</si>
  <si>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</si>
  <si>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</si>
  <si>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</si>
  <si>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</si>
  <si>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</si>
  <si>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</si>
  <si>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</si>
  <si>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</si>
  <si>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</si>
  <si>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</si>
  <si>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</si>
  <si>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</si>
  <si>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</si>
  <si>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</si>
  <si>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</si>
  <si>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</si>
  <si>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</si>
  <si>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</si>
  <si>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</si>
  <si>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</si>
  <si>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</si>
  <si>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</si>
  <si>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</si>
  <si>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</si>
  <si>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</si>
  <si>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</si>
  <si>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</si>
  <si>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</si>
  <si>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</si>
  <si>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</si>
  <si>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</si>
  <si>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</si>
  <si>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</si>
  <si>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</si>
  <si>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</si>
  <si>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</si>
  <si>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</si>
  <si>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</si>
  <si>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</si>
  <si>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</si>
  <si>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</si>
  <si>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</si>
  <si>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</si>
  <si>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</si>
  <si>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</si>
  <si>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</si>
  <si>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</si>
  <si>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</si>
  <si>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</si>
  <si>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</si>
  <si>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</si>
  <si>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</si>
  <si>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</si>
  <si>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</si>
  <si>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</si>
  <si>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</si>
  <si>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</si>
  <si>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</si>
  <si>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</si>
  <si>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</si>
  <si>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</si>
  <si>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</si>
  <si>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</si>
  <si>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</si>
  <si>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</si>
  <si>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</si>
  <si>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</si>
  <si>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</si>
  <si>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</si>
  <si>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</si>
  <si>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</si>
  <si>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</si>
  <si>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</si>
  <si>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</si>
  <si>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</si>
  <si>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</si>
  <si>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</si>
  <si>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</si>
  <si>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</si>
  <si>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</si>
  <si>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</si>
  <si>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</si>
  <si>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</si>
  <si>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</si>
  <si>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</si>
  <si>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</si>
  <si>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</si>
  <si>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</si>
  <si>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</si>
  <si>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</si>
  <si>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</si>
  <si>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</si>
  <si>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</si>
  <si>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</si>
  <si>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</si>
  <si>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</si>
  <si>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</si>
  <si>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</si>
  <si>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</si>
  <si>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</si>
  <si>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</si>
  <si>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</si>
  <si>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</si>
  <si>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</si>
  <si>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</si>
  <si>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</si>
  <si>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</si>
  <si>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</si>
  <si>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</si>
  <si>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</si>
  <si>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</si>
  <si>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</si>
  <si>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</si>
  <si>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</si>
  <si>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</si>
  <si>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</si>
  <si>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</si>
  <si>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</si>
  <si>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</si>
  <si>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</si>
  <si>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</si>
  <si>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</si>
  <si>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</si>
  <si>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</si>
  <si>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</si>
  <si>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</si>
  <si>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</si>
  <si>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</si>
  <si>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</si>
  <si>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</si>
  <si>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</si>
  <si>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</si>
  <si>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</si>
  <si>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</si>
  <si>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</si>
  <si>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</si>
  <si>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</si>
  <si>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</si>
  <si>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</si>
  <si>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</si>
  <si>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</si>
  <si>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</si>
  <si>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</si>
  <si>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</si>
  <si>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</si>
  <si>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</si>
  <si>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</si>
  <si>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</si>
  <si>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</si>
  <si>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</si>
  <si>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</si>
  <si>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</si>
  <si>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</si>
  <si>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</si>
  <si>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</si>
  <si>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</si>
  <si>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</si>
  <si>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</si>
  <si>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</si>
  <si>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</si>
  <si>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</si>
  <si>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</si>
  <si>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</si>
  <si>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</si>
  <si>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</si>
  <si>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</si>
  <si>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</si>
  <si>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</si>
  <si>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</si>
  <si>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</si>
  <si>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</si>
  <si>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</si>
  <si>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</si>
  <si>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</si>
  <si>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</si>
  <si>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</si>
  <si>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</si>
  <si>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</si>
  <si>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</si>
  <si>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</si>
  <si>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</si>
  <si>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</si>
  <si>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</si>
  <si>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</si>
  <si>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</si>
  <si>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</si>
  <si>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</si>
  <si>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</si>
  <si>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</si>
  <si>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وغدیر 16057 تا 1243</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</si>
  <si>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</si>
  <si>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</si>
  <si>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</si>
  <si>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</si>
  <si>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</si>
  <si>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</si>
  <si>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</si>
  <si>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</si>
  <si>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</si>
  <si>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</si>
  <si>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</si>
  <si>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</si>
  <si>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</si>
  <si>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</si>
  <si>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</si>
  <si>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</si>
  <si>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</si>
  <si>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</si>
  <si>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</si>
  <si>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</si>
  <si>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</si>
  <si>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</si>
  <si>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</si>
  <si>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</si>
  <si>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</si>
  <si>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</si>
  <si>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</si>
  <si>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</si>
  <si>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</si>
  <si>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</si>
  <si>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</si>
  <si>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</si>
  <si>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</si>
  <si>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</si>
  <si>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</si>
  <si>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</si>
  <si>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</si>
  <si>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</si>
  <si>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</si>
  <si>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</si>
  <si>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</si>
  <si>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</si>
  <si>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</si>
  <si>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</si>
  <si>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</si>
  <si>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</si>
  <si>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</si>
  <si>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</si>
  <si>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</si>
  <si>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</si>
  <si>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</si>
  <si>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</si>
  <si>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</si>
  <si>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</si>
  <si>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</si>
  <si>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</si>
  <si>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</si>
  <si>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</si>
  <si>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</si>
  <si>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</si>
  <si>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</si>
  <si>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</si>
  <si>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</si>
  <si>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</si>
  <si>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</si>
  <si>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</si>
  <si>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</si>
  <si>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</si>
  <si>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 xml:space="preserve">زاگرس 20090 تومنی (439 تا علی و 711 تا مریم) با 21273 تا وغدیر 1086 تومنی تصفیه شد </t>
  </si>
  <si>
    <t>پارس 1 تا 14600</t>
  </si>
  <si>
    <t>واریز مریم به بورس علی 21/1/1400</t>
  </si>
  <si>
    <t>22/1/1400</t>
  </si>
  <si>
    <t>23/1/1400</t>
  </si>
  <si>
    <t>وغدیر 30970 تا 1066</t>
  </si>
  <si>
    <t>طلا 2060 تا 7450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</si>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</sst>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5" borderId="1" xfId="0" applyFill="1" applyBorder="1" applyAlignment="1"/>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abSelected="1" topLeftCell="A104" zoomScaleNormal="100" workbookViewId="0">
      <selection activeCell="D128" sqref="D128"/>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5930</v>
      </c>
      <c r="D1" s="187" t="s">
        <v>5931</v>
      </c>
      <c r="E1" s="210" t="s">
        <v>5564</v>
      </c>
      <c r="F1" s="210" t="s">
        <v>5565</v>
      </c>
      <c r="G1" s="210" t="s">
        <v>5932</v>
      </c>
      <c r="H1" s="210" t="s">
        <v>5928</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5929</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5849</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5850</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5851</v>
      </c>
      <c r="B35" s="18">
        <f>B32*B33/B34</f>
        <v>600</v>
      </c>
      <c r="E35" s="94"/>
      <c r="F35" s="94"/>
      <c r="G35" s="94"/>
      <c r="O35" s="97" t="s">
        <v>4969</v>
      </c>
      <c r="P35" s="18">
        <v>6000000</v>
      </c>
      <c r="Q35" s="97">
        <v>1</v>
      </c>
      <c r="R35" s="97"/>
      <c r="S35" s="94"/>
      <c r="T35" s="94"/>
    </row>
    <row r="36" spans="1:22">
      <c r="A36" s="120" t="s">
        <v>5852</v>
      </c>
      <c r="B36" s="120">
        <v>872000000</v>
      </c>
      <c r="E36" s="94"/>
      <c r="F36" s="94"/>
      <c r="G36" s="94"/>
      <c r="O36" s="97" t="s">
        <v>4970</v>
      </c>
      <c r="P36" s="18">
        <v>2000000</v>
      </c>
      <c r="Q36" s="97">
        <v>3</v>
      </c>
      <c r="R36" s="97"/>
      <c r="S36" s="94"/>
      <c r="T36" s="94"/>
    </row>
    <row r="37" spans="1:22">
      <c r="A37" s="120" t="s">
        <v>5853</v>
      </c>
      <c r="B37" s="18">
        <v>750</v>
      </c>
      <c r="E37" s="94"/>
      <c r="F37" s="94"/>
      <c r="O37" s="97" t="s">
        <v>4977</v>
      </c>
      <c r="P37" s="18">
        <v>-50000</v>
      </c>
      <c r="Q37" s="97">
        <v>7</v>
      </c>
      <c r="R37" s="97"/>
      <c r="S37" s="94"/>
      <c r="T37" s="94"/>
    </row>
    <row r="38" spans="1:22">
      <c r="A38" s="120" t="s">
        <v>5854</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5878</v>
      </c>
      <c r="B52" s="94"/>
      <c r="E52" s="94"/>
      <c r="F52" s="94"/>
      <c r="K52" t="s">
        <v>25</v>
      </c>
      <c r="O52" s="97" t="s">
        <v>5088</v>
      </c>
      <c r="P52" s="18">
        <v>100000</v>
      </c>
      <c r="Q52" s="97">
        <v>1</v>
      </c>
      <c r="R52" s="97"/>
      <c r="S52" s="94"/>
      <c r="T52" s="94"/>
    </row>
    <row r="53" spans="1:20">
      <c r="A53" s="94" t="s">
        <v>5870</v>
      </c>
      <c r="B53" s="94"/>
      <c r="E53" s="94"/>
      <c r="F53" s="94"/>
      <c r="O53" s="97" t="s">
        <v>5091</v>
      </c>
      <c r="P53" s="18">
        <v>-1727718</v>
      </c>
      <c r="Q53" s="97">
        <v>2</v>
      </c>
      <c r="R53" s="97"/>
      <c r="S53" s="94"/>
      <c r="T53" s="94"/>
    </row>
    <row r="54" spans="1:20">
      <c r="A54" s="94" t="s">
        <v>5871</v>
      </c>
      <c r="B54" s="94"/>
      <c r="E54" s="94"/>
      <c r="F54" s="94"/>
      <c r="M54" t="s">
        <v>25</v>
      </c>
      <c r="O54" s="97" t="s">
        <v>5095</v>
      </c>
      <c r="P54" s="18">
        <v>-1000000</v>
      </c>
      <c r="Q54" s="97">
        <v>0</v>
      </c>
      <c r="R54" s="97"/>
      <c r="S54" s="94"/>
      <c r="T54" s="94"/>
    </row>
    <row r="55" spans="1:20">
      <c r="A55" t="s">
        <v>5879</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5873</v>
      </c>
      <c r="B59" s="94"/>
      <c r="C59" s="94" t="s">
        <v>25</v>
      </c>
      <c r="E59" s="94"/>
      <c r="F59" s="94"/>
      <c r="O59" s="97" t="s">
        <v>5143</v>
      </c>
      <c r="P59" s="18">
        <v>-2603</v>
      </c>
      <c r="Q59" s="97">
        <v>0</v>
      </c>
      <c r="R59" s="97" t="s">
        <v>5144</v>
      </c>
      <c r="S59" s="94"/>
      <c r="T59" s="94"/>
    </row>
    <row r="60" spans="1:20">
      <c r="A60" s="94" t="s">
        <v>5874</v>
      </c>
      <c r="B60" s="94"/>
      <c r="E60" s="94"/>
      <c r="F60" s="94"/>
      <c r="O60" s="97" t="s">
        <v>5143</v>
      </c>
      <c r="P60" s="18">
        <v>-250000</v>
      </c>
      <c r="Q60" s="97">
        <v>7</v>
      </c>
      <c r="R60" s="97"/>
      <c r="S60" s="94"/>
      <c r="T60" s="94"/>
    </row>
    <row r="61" spans="1:20">
      <c r="A61" t="s">
        <v>5890</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5872</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5883</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5884</v>
      </c>
      <c r="B71" s="94"/>
      <c r="E71" s="94"/>
      <c r="F71" s="94"/>
      <c r="O71" s="97" t="s">
        <v>5275</v>
      </c>
      <c r="P71" s="18">
        <v>1164690</v>
      </c>
      <c r="Q71" s="97">
        <v>4</v>
      </c>
      <c r="R71" s="97"/>
      <c r="S71" t="s">
        <v>25</v>
      </c>
    </row>
    <row r="72" spans="1:21">
      <c r="A72" s="94" t="s">
        <v>5885</v>
      </c>
      <c r="B72" s="94"/>
      <c r="E72" s="94"/>
      <c r="F72" s="94"/>
      <c r="O72" s="97" t="s">
        <v>5284</v>
      </c>
      <c r="P72" s="18">
        <v>1000000</v>
      </c>
      <c r="Q72" s="97">
        <v>4</v>
      </c>
      <c r="R72" s="97"/>
    </row>
    <row r="73" spans="1:21">
      <c r="A73" s="94" t="s">
        <v>5886</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5877</v>
      </c>
      <c r="E81" s="94"/>
      <c r="F81" s="94"/>
      <c r="O81" s="97" t="s">
        <v>5370</v>
      </c>
      <c r="P81" s="18">
        <v>-300000</v>
      </c>
      <c r="Q81" s="97">
        <v>5</v>
      </c>
      <c r="R81" s="97"/>
    </row>
    <row r="82" spans="1:26">
      <c r="A82" s="94" t="s">
        <v>5875</v>
      </c>
      <c r="E82" s="94"/>
      <c r="F82" s="94"/>
      <c r="O82" s="97" t="s">
        <v>5381</v>
      </c>
      <c r="P82" s="18">
        <v>500000</v>
      </c>
      <c r="Q82" s="97">
        <v>1</v>
      </c>
      <c r="R82" s="97"/>
    </row>
    <row r="83" spans="1:26">
      <c r="A83" s="94" t="s">
        <v>5876</v>
      </c>
      <c r="E83" s="94"/>
      <c r="F83" s="94"/>
      <c r="O83" s="97" t="s">
        <v>5383</v>
      </c>
      <c r="P83" s="18">
        <v>1000000</v>
      </c>
      <c r="Q83" s="97">
        <v>5</v>
      </c>
      <c r="R83" s="97"/>
    </row>
    <row r="84" spans="1:26">
      <c r="A84" s="94" t="s">
        <v>5887</v>
      </c>
      <c r="E84" s="94"/>
      <c r="F84" s="94"/>
      <c r="O84" s="97" t="s">
        <v>5388</v>
      </c>
      <c r="P84" s="18">
        <v>-2700000</v>
      </c>
      <c r="Q84" s="97">
        <v>1</v>
      </c>
      <c r="R84" s="97"/>
    </row>
    <row r="85" spans="1:26">
      <c r="A85" s="94" t="s">
        <v>5888</v>
      </c>
      <c r="E85" s="94"/>
      <c r="F85" s="94"/>
      <c r="M85" t="s">
        <v>25</v>
      </c>
      <c r="O85" s="97" t="s">
        <v>5389</v>
      </c>
      <c r="P85" s="18">
        <v>-3600000</v>
      </c>
      <c r="Q85" s="97">
        <v>1</v>
      </c>
      <c r="R85" s="97"/>
    </row>
    <row r="86" spans="1:26">
      <c r="A86" s="94" t="s">
        <v>5889</v>
      </c>
      <c r="O86" s="97" t="s">
        <v>987</v>
      </c>
      <c r="P86" s="18">
        <v>-400000</v>
      </c>
      <c r="Q86" s="97">
        <v>17</v>
      </c>
      <c r="R86" s="97"/>
    </row>
    <row r="87" spans="1:26">
      <c r="A87" s="94"/>
      <c r="O87" s="97" t="s">
        <v>5409</v>
      </c>
      <c r="P87" s="18">
        <v>1000000</v>
      </c>
      <c r="Q87" s="97">
        <v>20</v>
      </c>
      <c r="R87" s="97"/>
    </row>
    <row r="88" spans="1:26">
      <c r="A88" s="94" t="s">
        <v>5880</v>
      </c>
      <c r="O88" s="97" t="s">
        <v>5429</v>
      </c>
      <c r="P88" s="18">
        <v>-1000000</v>
      </c>
      <c r="Q88" s="97">
        <v>25</v>
      </c>
      <c r="R88" s="97"/>
    </row>
    <row r="89" spans="1:26">
      <c r="A89" t="s">
        <v>5881</v>
      </c>
      <c r="O89" s="97" t="s">
        <v>5460</v>
      </c>
      <c r="P89" s="18">
        <v>300000</v>
      </c>
      <c r="Q89" s="97">
        <v>3</v>
      </c>
      <c r="R89" s="97"/>
    </row>
    <row r="90" spans="1:26">
      <c r="A90" s="94" t="s">
        <v>5882</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5826</v>
      </c>
      <c r="P112" s="18">
        <v>-4000000</v>
      </c>
      <c r="Q112" s="97">
        <v>3</v>
      </c>
      <c r="R112" s="97"/>
    </row>
    <row r="113" spans="1:21">
      <c r="O113" s="97" t="s">
        <v>5831</v>
      </c>
      <c r="P113" s="18">
        <v>-5000000</v>
      </c>
      <c r="Q113" s="97" t="s">
        <v>25</v>
      </c>
      <c r="R113" s="97"/>
    </row>
    <row r="114" spans="1:21">
      <c r="O114" s="97" t="s">
        <v>5829</v>
      </c>
      <c r="P114" s="18">
        <v>-2500000</v>
      </c>
      <c r="Q114" s="97">
        <v>1</v>
      </c>
      <c r="R114" s="97"/>
    </row>
    <row r="115" spans="1:21">
      <c r="O115" s="97" t="s">
        <v>5830</v>
      </c>
      <c r="P115" s="18">
        <v>-500000</v>
      </c>
      <c r="Q115" s="97">
        <v>17</v>
      </c>
      <c r="R115" s="97"/>
    </row>
    <row r="116" spans="1:21">
      <c r="A116" s="341" t="s">
        <v>180</v>
      </c>
      <c r="B116" s="342" t="s">
        <v>5975</v>
      </c>
      <c r="C116" s="32" t="s">
        <v>5976</v>
      </c>
      <c r="D116" s="32" t="s">
        <v>5977</v>
      </c>
      <c r="E116" s="32" t="s">
        <v>5978</v>
      </c>
      <c r="F116" s="32" t="s">
        <v>5979</v>
      </c>
      <c r="G116" s="32" t="s">
        <v>5340</v>
      </c>
      <c r="H116" s="32" t="s">
        <v>5980</v>
      </c>
      <c r="I116" s="294" t="s">
        <v>5981</v>
      </c>
      <c r="N116" t="s">
        <v>25</v>
      </c>
      <c r="O116" s="97" t="s">
        <v>5832</v>
      </c>
      <c r="P116" s="18">
        <v>-192797</v>
      </c>
      <c r="Q116" s="97">
        <v>15</v>
      </c>
      <c r="R116" s="97"/>
    </row>
    <row r="117" spans="1:21">
      <c r="A117" s="341" t="s">
        <v>4223</v>
      </c>
      <c r="B117" s="343">
        <v>70000000</v>
      </c>
      <c r="C117" s="344">
        <v>4400000</v>
      </c>
      <c r="D117" s="345">
        <f>B117/C117</f>
        <v>15.909090909090908</v>
      </c>
      <c r="E117" s="18">
        <v>190</v>
      </c>
      <c r="F117" s="32">
        <f>B117/E117</f>
        <v>368421.05263157893</v>
      </c>
      <c r="G117" s="32"/>
      <c r="H117" s="32"/>
      <c r="I117" s="210"/>
      <c r="O117" s="97" t="s">
        <v>5837</v>
      </c>
      <c r="P117" s="18">
        <v>2000000</v>
      </c>
      <c r="Q117" s="97">
        <v>12</v>
      </c>
      <c r="R117" s="97"/>
    </row>
    <row r="118" spans="1:21">
      <c r="A118" s="341" t="s">
        <v>4754</v>
      </c>
      <c r="B118" s="18"/>
      <c r="C118" s="18"/>
      <c r="D118" s="18"/>
      <c r="E118" s="18"/>
      <c r="F118" s="32">
        <f>F117+I118</f>
        <v>419590.64327485382</v>
      </c>
      <c r="G118" s="32">
        <v>25</v>
      </c>
      <c r="H118" s="32">
        <v>180</v>
      </c>
      <c r="I118" s="347">
        <f>G118*F117/H118</f>
        <v>51169.59064327486</v>
      </c>
      <c r="O118" s="97" t="s">
        <v>5845</v>
      </c>
      <c r="P118" s="18">
        <v>-2000000</v>
      </c>
      <c r="Q118" s="97">
        <v>0</v>
      </c>
      <c r="R118" s="97"/>
    </row>
    <row r="119" spans="1:21">
      <c r="A119" s="341" t="s">
        <v>5449</v>
      </c>
      <c r="B119" s="18"/>
      <c r="C119" s="18"/>
      <c r="D119" s="18"/>
      <c r="E119" s="18"/>
      <c r="F119" s="32">
        <f>F118+I119</f>
        <v>441232.68698060943</v>
      </c>
      <c r="G119" s="32">
        <v>49</v>
      </c>
      <c r="H119" s="32">
        <v>950</v>
      </c>
      <c r="I119" s="347">
        <f>F118*G119/H119</f>
        <v>21642.043705755616</v>
      </c>
      <c r="O119" s="97" t="s">
        <v>5845</v>
      </c>
      <c r="P119" s="18">
        <v>-4000000</v>
      </c>
      <c r="Q119" s="97">
        <v>1</v>
      </c>
      <c r="R119" s="97"/>
    </row>
    <row r="120" spans="1:21">
      <c r="A120" s="341" t="s">
        <v>5942</v>
      </c>
      <c r="B120" s="18"/>
      <c r="C120" s="18"/>
      <c r="D120" s="18"/>
      <c r="E120" s="18"/>
      <c r="F120" s="32">
        <f>F119+I120</f>
        <v>473322.33694283559</v>
      </c>
      <c r="G120" s="32">
        <v>80</v>
      </c>
      <c r="H120" s="32">
        <v>1100</v>
      </c>
      <c r="I120" s="347">
        <f>F119*G120/H120</f>
        <v>32089.64996222614</v>
      </c>
      <c r="O120" s="97" t="s">
        <v>5847</v>
      </c>
      <c r="P120" s="18">
        <v>-3000000</v>
      </c>
      <c r="Q120" s="97">
        <v>3</v>
      </c>
      <c r="R120" s="97"/>
    </row>
    <row r="121" spans="1:21">
      <c r="A121" s="9"/>
      <c r="B121" s="18"/>
      <c r="O121" s="97" t="s">
        <v>5855</v>
      </c>
      <c r="P121" s="18">
        <v>-6000000</v>
      </c>
      <c r="Q121" s="97">
        <v>1</v>
      </c>
      <c r="R121" s="97"/>
    </row>
    <row r="122" spans="1:21">
      <c r="A122" s="341"/>
      <c r="B122" s="343" t="s">
        <v>5982</v>
      </c>
      <c r="C122" s="18"/>
      <c r="D122" s="18" t="s">
        <v>5983</v>
      </c>
      <c r="E122" s="18"/>
      <c r="F122" s="18" t="s">
        <v>5984</v>
      </c>
      <c r="G122" s="32"/>
      <c r="H122" s="32"/>
      <c r="I122" s="210"/>
      <c r="O122" s="97" t="s">
        <v>5859</v>
      </c>
      <c r="P122" s="18">
        <v>-10000000</v>
      </c>
      <c r="Q122" s="97">
        <v>0</v>
      </c>
      <c r="R122" s="97"/>
    </row>
    <row r="123" spans="1:21">
      <c r="A123" s="341" t="s">
        <v>5972</v>
      </c>
      <c r="B123" s="343">
        <v>260000000</v>
      </c>
      <c r="C123" s="18"/>
      <c r="D123" s="344">
        <f>10440000*D117</f>
        <v>166090909.09090909</v>
      </c>
      <c r="E123" s="18"/>
      <c r="F123" s="346">
        <f>1066*F120</f>
        <v>504561611.18106276</v>
      </c>
      <c r="G123" s="32"/>
      <c r="H123" s="32"/>
      <c r="I123" s="210"/>
      <c r="O123" s="97" t="s">
        <v>5859</v>
      </c>
      <c r="P123" s="18">
        <v>-5500000</v>
      </c>
      <c r="Q123" s="97">
        <v>1</v>
      </c>
      <c r="R123" s="97"/>
    </row>
    <row r="124" spans="1:21">
      <c r="A124" s="94"/>
      <c r="B124" s="94"/>
      <c r="E124" s="94"/>
      <c r="F124" s="94"/>
      <c r="G124" s="94"/>
      <c r="H124" s="94"/>
      <c r="I124" s="94"/>
      <c r="J124" s="94"/>
      <c r="O124" s="97" t="s">
        <v>5860</v>
      </c>
      <c r="P124" s="18">
        <v>-1500000</v>
      </c>
      <c r="Q124" s="97">
        <v>9</v>
      </c>
      <c r="R124" s="97"/>
    </row>
    <row r="125" spans="1:21">
      <c r="A125" s="94"/>
      <c r="B125" s="94"/>
      <c r="E125" s="94"/>
      <c r="F125" s="94"/>
      <c r="G125" s="94"/>
      <c r="H125" s="94"/>
      <c r="I125" s="94" t="s">
        <v>25</v>
      </c>
      <c r="J125" s="94"/>
      <c r="O125" s="97" t="s">
        <v>5891</v>
      </c>
      <c r="P125" s="18">
        <v>-22545000</v>
      </c>
      <c r="Q125" s="97">
        <v>18</v>
      </c>
      <c r="R125" s="97" t="s">
        <v>5896</v>
      </c>
    </row>
    <row r="126" spans="1:21">
      <c r="A126" s="94"/>
      <c r="B126" s="94"/>
      <c r="E126" s="94"/>
      <c r="F126" s="94"/>
      <c r="G126" s="94"/>
      <c r="H126" s="94"/>
      <c r="I126" s="94"/>
      <c r="J126" s="94"/>
      <c r="O126" s="97" t="s">
        <v>5911</v>
      </c>
      <c r="P126" s="18">
        <v>5000000</v>
      </c>
      <c r="Q126" s="97">
        <v>9</v>
      </c>
      <c r="R126" s="97"/>
    </row>
    <row r="127" spans="1:21">
      <c r="A127" s="94"/>
      <c r="B127" s="94"/>
      <c r="E127" s="94"/>
      <c r="F127" s="94"/>
      <c r="G127" s="94"/>
      <c r="H127" s="94"/>
      <c r="I127" s="94"/>
      <c r="J127" s="94"/>
      <c r="O127" s="97" t="s">
        <v>5942</v>
      </c>
      <c r="P127" s="18">
        <v>3000000</v>
      </c>
      <c r="Q127" s="97">
        <v>0</v>
      </c>
      <c r="R127" s="97"/>
      <c r="U127" t="s">
        <v>25</v>
      </c>
    </row>
    <row r="128" spans="1:21">
      <c r="A128" s="94"/>
      <c r="B128" s="94"/>
      <c r="D128" s="94" t="s">
        <v>25</v>
      </c>
      <c r="E128" s="94"/>
      <c r="F128" s="94"/>
      <c r="G128" s="94"/>
      <c r="H128" s="94"/>
      <c r="I128" s="94"/>
      <c r="J128" s="94"/>
      <c r="O128" s="97" t="s">
        <v>5942</v>
      </c>
      <c r="P128" s="18">
        <v>-3000000</v>
      </c>
      <c r="Q128" s="97">
        <v>1</v>
      </c>
      <c r="R128" s="97"/>
    </row>
    <row r="129" spans="1:18">
      <c r="A129" s="94"/>
      <c r="B129" s="94"/>
      <c r="E129" s="94"/>
      <c r="F129" s="94"/>
      <c r="G129" s="94"/>
      <c r="H129" s="94"/>
      <c r="I129" s="94"/>
      <c r="J129" s="94"/>
      <c r="O129" s="97" t="s">
        <v>5943</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4924</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2" sqref="E16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row>
    <row r="161" spans="4:9">
      <c r="D161" s="18">
        <v>30000000</v>
      </c>
      <c r="E161" s="247" t="s">
        <v>5970</v>
      </c>
      <c r="I161" t="s">
        <v>25</v>
      </c>
    </row>
    <row r="162" spans="4:9">
      <c r="D162" s="18"/>
      <c r="E162" s="247"/>
    </row>
    <row r="163" spans="4:9">
      <c r="D163" s="18"/>
      <c r="E163" s="94"/>
    </row>
    <row r="164" spans="4:9">
      <c r="D164" s="18"/>
      <c r="E164" s="94" t="s">
        <v>25</v>
      </c>
    </row>
    <row r="165" spans="4:9">
      <c r="D165" s="18">
        <f>SUM(D40:D164)</f>
        <v>26275686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5828</v>
      </c>
      <c r="O19" t="s">
        <v>5827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6"/>
  <sheetViews>
    <sheetView topLeftCell="P127" zoomScale="80" zoomScaleNormal="80" workbookViewId="0">
      <selection activeCell="S154" sqref="S1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1496880</v>
      </c>
      <c r="O20" s="97" t="s">
        <v>922</v>
      </c>
      <c r="P20" s="97" t="s">
        <v>3913</v>
      </c>
      <c r="Q20" s="167">
        <v>9268987</v>
      </c>
      <c r="R20" s="166" t="s">
        <v>4152</v>
      </c>
      <c r="S20" s="189">
        <f>S106</f>
        <v>924</v>
      </c>
      <c r="T20" s="166" t="s">
        <v>4283</v>
      </c>
      <c r="U20" s="166">
        <v>192.1</v>
      </c>
      <c r="V20" s="166">
        <f t="shared" ref="V20:V51" si="6">U20*(1+$R$102+$Q$15*S20/36500)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-N32</f>
        <v>4939693990.1933794</v>
      </c>
      <c r="M21" s="166" t="s">
        <v>4275</v>
      </c>
      <c r="N21" s="111">
        <f>O21*P21</f>
        <v>2723013852</v>
      </c>
      <c r="O21" s="97">
        <v>2554422</v>
      </c>
      <c r="P21" s="183">
        <f>P47</f>
        <v>1066</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5292</v>
      </c>
      <c r="N22" s="111">
        <f>O22*P22</f>
        <v>7345800</v>
      </c>
      <c r="O22" s="97">
        <v>5830</v>
      </c>
      <c r="P22" s="183">
        <f>P50</f>
        <v>1260</v>
      </c>
      <c r="Q22" s="167">
        <v>1614398</v>
      </c>
      <c r="R22" s="166" t="s">
        <v>4397</v>
      </c>
      <c r="S22" s="166">
        <f>S21-3</f>
        <v>862</v>
      </c>
      <c r="T22" s="19" t="s">
        <v>5646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25141200</v>
      </c>
      <c r="O23" s="97">
        <v>1722</v>
      </c>
      <c r="P23" s="183">
        <f>P45</f>
        <v>14600</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5247353482.1933794</v>
      </c>
      <c r="G24" s="93">
        <f t="shared" si="0"/>
        <v>-4967047136.8114405</v>
      </c>
      <c r="H24" s="11"/>
      <c r="I24" s="94"/>
      <c r="J24" s="94"/>
      <c r="K24" s="210"/>
      <c r="L24" s="115"/>
      <c r="M24" s="210" t="s">
        <v>5947</v>
      </c>
      <c r="N24" s="111">
        <f>O24*P24</f>
        <v>53115480</v>
      </c>
      <c r="O24" s="97">
        <v>7101</v>
      </c>
      <c r="P24" s="183">
        <f>P48</f>
        <v>7480</v>
      </c>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5811</v>
      </c>
      <c r="L25" s="115">
        <f>-'فروردین 98'!D165</f>
        <v>-26275686</v>
      </c>
      <c r="M25" s="166"/>
      <c r="N25" s="111"/>
      <c r="O25" s="67"/>
      <c r="P25" s="97"/>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4418</v>
      </c>
      <c r="N26" s="111">
        <v>1055</v>
      </c>
      <c r="O26" s="266"/>
      <c r="P26" s="97" t="s">
        <v>25</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5292</v>
      </c>
      <c r="N27" s="111">
        <f>O27*P27</f>
        <v>33843600</v>
      </c>
      <c r="O27" s="67">
        <v>26860</v>
      </c>
      <c r="P27" s="97">
        <f>P50</f>
        <v>1260</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4357</v>
      </c>
      <c r="N28" s="111">
        <f>O28*P28</f>
        <v>0</v>
      </c>
      <c r="O28" s="67">
        <v>0</v>
      </c>
      <c r="P28" s="97">
        <f>P45</f>
        <v>14600</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t="s">
        <v>904</v>
      </c>
      <c r="L29" s="115">
        <v>4800000</v>
      </c>
      <c r="M29" s="187" t="s">
        <v>4398</v>
      </c>
      <c r="N29" s="111">
        <f>O29*P29</f>
        <v>329805476</v>
      </c>
      <c r="O29" s="67">
        <v>309386</v>
      </c>
      <c r="P29" s="97">
        <f>P47</f>
        <v>1066</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7046042.5001907032</v>
      </c>
      <c r="R30" s="210" t="s">
        <v>4885</v>
      </c>
      <c r="S30" s="195">
        <f>S29-5</f>
        <v>692</v>
      </c>
      <c r="T30" s="210" t="s">
        <v>5611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1070</v>
      </c>
      <c r="L31" s="115">
        <f>'خرید و فروش سکه فیزیکی'!M48*10*P51</f>
        <v>0</v>
      </c>
      <c r="M31" s="166" t="s">
        <v>749</v>
      </c>
      <c r="N31" s="111">
        <v>3000000</v>
      </c>
      <c r="P31" t="s">
        <v>25</v>
      </c>
      <c r="Q31" s="167">
        <v>5368238</v>
      </c>
      <c r="R31" s="210" t="s">
        <v>5618</v>
      </c>
      <c r="S31" s="195">
        <f>S30-465</f>
        <v>227</v>
      </c>
      <c r="T31" s="210" t="s">
        <v>5619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4936</v>
      </c>
      <c r="L32" s="115">
        <v>-47500000</v>
      </c>
      <c r="M32" s="166" t="s">
        <v>4131</v>
      </c>
      <c r="N32" s="111">
        <f>-W151</f>
        <v>-4939693990.1933794</v>
      </c>
      <c r="P32" t="s">
        <v>25</v>
      </c>
      <c r="Q32" s="167">
        <v>40195775</v>
      </c>
      <c r="R32" s="210" t="s">
        <v>5620</v>
      </c>
      <c r="S32" s="195">
        <f>S31-3</f>
        <v>224</v>
      </c>
      <c r="T32" s="210" t="s">
        <v>5621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746</v>
      </c>
      <c r="N33" s="111">
        <v>500000</v>
      </c>
      <c r="P33" t="s">
        <v>25</v>
      </c>
      <c r="Q33" s="167">
        <v>16176504</v>
      </c>
      <c r="R33" s="210" t="s">
        <v>5622</v>
      </c>
      <c r="S33" s="195">
        <f>S32-1</f>
        <v>223</v>
      </c>
      <c r="T33" s="210" t="s">
        <v>5623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753</v>
      </c>
      <c r="N34" s="111">
        <v>1200000</v>
      </c>
      <c r="P34" t="s">
        <v>25</v>
      </c>
      <c r="Q34" s="167">
        <v>47880291</v>
      </c>
      <c r="R34" s="210" t="s">
        <v>5629</v>
      </c>
      <c r="S34" s="195">
        <f>S33-8</f>
        <v>215</v>
      </c>
      <c r="T34" s="210" t="s">
        <v>5633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t="s">
        <v>5921</v>
      </c>
      <c r="L35" s="115">
        <v>-202317100</v>
      </c>
      <c r="M35" s="71"/>
      <c r="N35" s="111"/>
      <c r="P35" t="s">
        <v>25</v>
      </c>
      <c r="Q35" s="167">
        <v>48859908</v>
      </c>
      <c r="R35" s="210" t="s">
        <v>5632</v>
      </c>
      <c r="S35" s="195">
        <f>S34-1</f>
        <v>214</v>
      </c>
      <c r="T35" s="210" t="s">
        <v>5636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5922</v>
      </c>
      <c r="L36" s="115">
        <v>224</v>
      </c>
      <c r="M36" s="166"/>
      <c r="N36" s="111"/>
      <c r="P36" t="s">
        <v>25</v>
      </c>
      <c r="Q36" s="167">
        <v>38191823</v>
      </c>
      <c r="R36" s="210" t="s">
        <v>5634</v>
      </c>
      <c r="S36" s="195">
        <f>S35-1</f>
        <v>213</v>
      </c>
      <c r="T36" s="210" t="s">
        <v>5635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SUM(L35:L37)</f>
        <v>-9494104</v>
      </c>
      <c r="K37" s="166" t="s">
        <v>5923</v>
      </c>
      <c r="L37" s="115">
        <f>P47*136742+3223*P45</f>
        <v>192822772</v>
      </c>
      <c r="M37" s="166" t="s">
        <v>5360</v>
      </c>
      <c r="N37" s="111">
        <v>-14000000</v>
      </c>
      <c r="O37" t="s">
        <v>25</v>
      </c>
      <c r="P37" t="s">
        <v>25</v>
      </c>
      <c r="Q37" s="167">
        <v>70173463</v>
      </c>
      <c r="R37" s="210" t="s">
        <v>5637</v>
      </c>
      <c r="S37" s="195">
        <f>S36-3</f>
        <v>210</v>
      </c>
      <c r="T37" s="210" t="s">
        <v>5641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4935</v>
      </c>
      <c r="N38" s="111">
        <v>-47000000</v>
      </c>
      <c r="O38" s="293"/>
      <c r="P38" s="94" t="s">
        <v>25</v>
      </c>
      <c r="Q38" s="167">
        <v>23283294</v>
      </c>
      <c r="R38" s="210" t="s">
        <v>5639</v>
      </c>
      <c r="S38" s="195">
        <f>S37-2</f>
        <v>208</v>
      </c>
      <c r="T38" s="210" t="s">
        <v>5640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1611237.824</v>
      </c>
      <c r="R39" s="210" t="s">
        <v>5642</v>
      </c>
      <c r="S39" s="195">
        <f>S38-1</f>
        <v>207</v>
      </c>
      <c r="T39" s="210" t="s">
        <v>5647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4417</v>
      </c>
      <c r="N40" s="111">
        <v>14293</v>
      </c>
      <c r="O40" s="112"/>
      <c r="P40" t="s">
        <v>25</v>
      </c>
      <c r="Q40" s="167">
        <v>563902380</v>
      </c>
      <c r="R40" s="210" t="s">
        <v>5649</v>
      </c>
      <c r="S40" s="195">
        <f>S39-5</f>
        <v>202</v>
      </c>
      <c r="T40" s="210" t="s">
        <v>5651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254" t="s">
        <v>5944</v>
      </c>
      <c r="L41" s="115">
        <v>0</v>
      </c>
      <c r="M41" s="166"/>
      <c r="N41" s="111"/>
      <c r="O41" s="97"/>
      <c r="P41" s="97"/>
      <c r="Q41" s="167">
        <v>814638349</v>
      </c>
      <c r="R41" s="210" t="s">
        <v>5656</v>
      </c>
      <c r="S41" s="195">
        <f>S40-8</f>
        <v>194</v>
      </c>
      <c r="T41" s="210" t="s">
        <v>5657</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5803</v>
      </c>
      <c r="N42" s="115">
        <f>O42*P42</f>
        <v>50508146</v>
      </c>
      <c r="O42" s="67">
        <v>47381</v>
      </c>
      <c r="P42" s="67">
        <f>P47</f>
        <v>1066</v>
      </c>
      <c r="Q42" s="167">
        <v>2537951</v>
      </c>
      <c r="R42" s="210" t="s">
        <v>5673</v>
      </c>
      <c r="S42" s="195">
        <f>S41-5</f>
        <v>189</v>
      </c>
      <c r="T42" s="210" t="s">
        <v>5674</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c r="K43" s="36"/>
      <c r="L43" s="115"/>
      <c r="M43" s="21" t="s">
        <v>5934</v>
      </c>
      <c r="N43" s="115">
        <f>O43*P43</f>
        <v>17150000</v>
      </c>
      <c r="O43" s="67">
        <v>35000</v>
      </c>
      <c r="P43" s="67">
        <v>490</v>
      </c>
      <c r="Q43" s="167">
        <v>2352469</v>
      </c>
      <c r="R43" s="210" t="s">
        <v>5679</v>
      </c>
      <c r="S43" s="195">
        <f>S42-2</f>
        <v>187</v>
      </c>
      <c r="T43" s="210" t="s">
        <v>5680</v>
      </c>
      <c r="U43" s="210">
        <v>15730</v>
      </c>
      <c r="V43" s="210">
        <f t="shared" si="6"/>
        <v>18225.59682191781</v>
      </c>
      <c r="W43" s="32">
        <f t="shared" ref="W43" si="22">V43*(1+$W$19/100)</f>
        <v>18590.108758356168</v>
      </c>
      <c r="X43" s="32">
        <f t="shared" ref="X43" si="23">V43*(1+$X$19/100)</f>
        <v>18954.620694794525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5799</v>
      </c>
      <c r="L44" s="115">
        <f>N42</f>
        <v>50508146</v>
      </c>
      <c r="M44" s="21" t="s">
        <v>5913</v>
      </c>
      <c r="N44" s="115">
        <f t="shared" ref="N44:N52" si="24">O44*P44</f>
        <v>11400000</v>
      </c>
      <c r="O44" s="67">
        <v>30000</v>
      </c>
      <c r="P44" s="67">
        <v>380</v>
      </c>
      <c r="Q44" s="167"/>
      <c r="R44" s="210" t="s">
        <v>5683</v>
      </c>
      <c r="S44" s="195">
        <f>S43-1</f>
        <v>186</v>
      </c>
      <c r="T44" s="210" t="s">
        <v>5825</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5499</v>
      </c>
      <c r="L45" s="115">
        <f>J156</f>
        <v>329664764</v>
      </c>
      <c r="M45" s="19" t="s">
        <v>4357</v>
      </c>
      <c r="N45" s="115">
        <f t="shared" si="24"/>
        <v>2759400</v>
      </c>
      <c r="O45" s="67">
        <v>189</v>
      </c>
      <c r="P45" s="67">
        <v>14600</v>
      </c>
      <c r="Q45" s="167">
        <v>67414766</v>
      </c>
      <c r="R45" s="210" t="s">
        <v>5683</v>
      </c>
      <c r="S45" s="195">
        <f>S44</f>
        <v>186</v>
      </c>
      <c r="T45" s="210" t="s">
        <v>5690</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4361</v>
      </c>
      <c r="N46" s="115">
        <f t="shared" si="24"/>
        <v>0</v>
      </c>
      <c r="O46" s="67">
        <v>0</v>
      </c>
      <c r="P46" s="67">
        <v>20500</v>
      </c>
      <c r="Q46" s="167">
        <v>23400057</v>
      </c>
      <c r="R46" s="210" t="s">
        <v>5687</v>
      </c>
      <c r="S46" s="195">
        <f>S45-1</f>
        <v>185</v>
      </c>
      <c r="T46" s="210" t="s">
        <v>5691</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4699836232</v>
      </c>
      <c r="O47" s="97">
        <v>4408852</v>
      </c>
      <c r="P47" s="97">
        <v>1066</v>
      </c>
      <c r="Q47" s="167"/>
      <c r="R47" s="210" t="s">
        <v>5693</v>
      </c>
      <c r="S47" s="195">
        <f>S46-4</f>
        <v>181</v>
      </c>
      <c r="T47" s="210" t="s">
        <v>5694</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5947</v>
      </c>
      <c r="N48" s="111">
        <f>O48*P48</f>
        <v>0</v>
      </c>
      <c r="O48" s="97">
        <v>0</v>
      </c>
      <c r="P48" s="97">
        <v>7480</v>
      </c>
      <c r="Q48" s="167"/>
      <c r="R48" s="210" t="s">
        <v>5695</v>
      </c>
      <c r="S48" s="195">
        <f>S47-1</f>
        <v>180</v>
      </c>
      <c r="T48" s="210" t="s">
        <v>5696</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5917</v>
      </c>
      <c r="N49" s="111">
        <f>O49*P49</f>
        <v>2000</v>
      </c>
      <c r="O49" s="97">
        <v>1000</v>
      </c>
      <c r="P49" s="97">
        <v>2</v>
      </c>
      <c r="Q49" s="167"/>
      <c r="R49" s="210" t="s">
        <v>5698</v>
      </c>
      <c r="S49" s="195">
        <f>S48-2</f>
        <v>178</v>
      </c>
      <c r="T49" s="210" t="s">
        <v>5699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5292</v>
      </c>
      <c r="N50" s="111">
        <f t="shared" si="24"/>
        <v>173765340</v>
      </c>
      <c r="O50" s="97">
        <v>137909</v>
      </c>
      <c r="P50" s="97">
        <v>1260</v>
      </c>
      <c r="Q50" s="167"/>
      <c r="R50" s="210" t="s">
        <v>5714</v>
      </c>
      <c r="S50" s="195">
        <f>S49-19</f>
        <v>159</v>
      </c>
      <c r="T50" s="210" t="s">
        <v>5715</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254"/>
      <c r="L51" s="115" t="s">
        <v>25</v>
      </c>
      <c r="M51" s="21" t="s">
        <v>1070</v>
      </c>
      <c r="N51" s="115">
        <f t="shared" si="24"/>
        <v>0</v>
      </c>
      <c r="O51" s="67">
        <v>0</v>
      </c>
      <c r="P51" s="67">
        <v>1035000</v>
      </c>
      <c r="Q51" s="167"/>
      <c r="R51" s="210" t="s">
        <v>5716</v>
      </c>
      <c r="S51" s="195">
        <f>S50-1</f>
        <v>158</v>
      </c>
      <c r="T51" s="210" t="s">
        <v>5717</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5079</v>
      </c>
      <c r="N52" s="115">
        <f t="shared" si="24"/>
        <v>0</v>
      </c>
      <c r="O52" s="67">
        <v>0</v>
      </c>
      <c r="P52" s="67">
        <v>24800</v>
      </c>
      <c r="Q52" s="167"/>
      <c r="R52" s="210" t="s">
        <v>5718</v>
      </c>
      <c r="S52" s="195">
        <f>S51-1</f>
        <v>157</v>
      </c>
      <c r="T52" s="210" t="s">
        <v>5719</v>
      </c>
      <c r="U52" s="210"/>
      <c r="V52" s="210">
        <f t="shared" ref="V52:V71"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5549</v>
      </c>
      <c r="L53" s="115"/>
      <c r="M53" s="166" t="s">
        <v>1136</v>
      </c>
      <c r="N53" s="115">
        <v>14908</v>
      </c>
      <c r="O53" s="72">
        <v>1</v>
      </c>
      <c r="P53" t="s">
        <v>25</v>
      </c>
      <c r="Q53" s="167"/>
      <c r="R53" s="210" t="s">
        <v>5721</v>
      </c>
      <c r="S53" s="195">
        <f>S52-3</f>
        <v>154</v>
      </c>
      <c r="T53" s="210" t="s">
        <v>5722</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ht="30">
      <c r="A54" s="61">
        <v>1400</v>
      </c>
      <c r="B54" s="11">
        <v>52</v>
      </c>
      <c r="C54" s="47">
        <f t="shared" si="4"/>
        <v>5380547.1560366414</v>
      </c>
      <c r="D54" s="3">
        <f t="shared" si="5"/>
        <v>4370773.2377119577</v>
      </c>
      <c r="E54" s="3">
        <f t="shared" si="11"/>
        <v>542808580.73450804</v>
      </c>
      <c r="F54" s="3"/>
      <c r="G54" s="11"/>
      <c r="H54" s="11"/>
      <c r="J54" s="112"/>
      <c r="K54" s="254" t="s">
        <v>5573</v>
      </c>
      <c r="L54" s="115">
        <v>-1605910</v>
      </c>
      <c r="M54" s="166" t="s">
        <v>1137</v>
      </c>
      <c r="N54" s="115">
        <v>5282</v>
      </c>
      <c r="O54" s="94"/>
      <c r="P54" t="s">
        <v>25</v>
      </c>
      <c r="Q54" s="167"/>
      <c r="R54" s="210" t="s">
        <v>5724</v>
      </c>
      <c r="S54" s="195">
        <f>S53-2</f>
        <v>152</v>
      </c>
      <c r="T54" s="210" t="s">
        <v>5725</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10" t="s">
        <v>5727</v>
      </c>
      <c r="S55" s="195">
        <f>S54-7</f>
        <v>145</v>
      </c>
      <c r="T55" s="210" t="s">
        <v>5728</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c r="R56" s="210" t="s">
        <v>965</v>
      </c>
      <c r="S56" s="319">
        <f>S55-20</f>
        <v>125</v>
      </c>
      <c r="T56" s="210" t="s">
        <v>5754</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t="s">
        <v>25</v>
      </c>
      <c r="R57" s="210" t="s">
        <v>5794</v>
      </c>
      <c r="S57" s="195">
        <f>S56-22</f>
        <v>103</v>
      </c>
      <c r="T57" s="210" t="s">
        <v>5795</v>
      </c>
      <c r="U57" s="210">
        <v>1302</v>
      </c>
      <c r="V57" s="210">
        <f t="shared" si="29"/>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5801</v>
      </c>
      <c r="S58" s="195">
        <f>S57-1</f>
        <v>102</v>
      </c>
      <c r="T58" s="210" t="s">
        <v>5802</v>
      </c>
      <c r="U58" s="210">
        <v>1250</v>
      </c>
      <c r="V58" s="210">
        <f t="shared" si="29"/>
        <v>1366.8082191780823</v>
      </c>
      <c r="W58" s="32">
        <f t="shared" ref="W58:W74" si="30">V58*(1+$W$19/100)</f>
        <v>1394.144383561644</v>
      </c>
      <c r="X58" s="32">
        <f t="shared" ref="X58:X74" si="31">V58*(1+$X$19/100)</f>
        <v>1421.4805479452057</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-W152</f>
        <v>-99110975.30462046</v>
      </c>
      <c r="P59" t="s">
        <v>25</v>
      </c>
      <c r="Q59" s="167"/>
      <c r="R59" s="210" t="s">
        <v>5806</v>
      </c>
      <c r="S59" s="195">
        <f>S58-4</f>
        <v>98</v>
      </c>
      <c r="T59" s="210" t="s">
        <v>5807</v>
      </c>
      <c r="U59" s="210">
        <v>1195</v>
      </c>
      <c r="V59" s="210">
        <f t="shared" si="29"/>
        <v>1303.0018082191782</v>
      </c>
      <c r="W59" s="32">
        <f t="shared" si="30"/>
        <v>1329.0618443835617</v>
      </c>
      <c r="X59" s="32">
        <f t="shared" si="31"/>
        <v>1355.1218805479455</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5814</v>
      </c>
      <c r="S60" s="195">
        <f>S59-4</f>
        <v>94</v>
      </c>
      <c r="T60" s="210" t="s">
        <v>5818</v>
      </c>
      <c r="U60" s="210">
        <v>1190</v>
      </c>
      <c r="V60" s="210">
        <f t="shared" si="29"/>
        <v>1293.8984109589042</v>
      </c>
      <c r="W60" s="32">
        <f t="shared" si="30"/>
        <v>1319.7763791780822</v>
      </c>
      <c r="X60" s="32">
        <f t="shared" si="31"/>
        <v>1345.6543473972604</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10" t="s">
        <v>5816</v>
      </c>
      <c r="S61" s="195">
        <f>S59-7</f>
        <v>91</v>
      </c>
      <c r="T61" s="210" t="s">
        <v>5817</v>
      </c>
      <c r="U61" s="210">
        <v>1147</v>
      </c>
      <c r="V61" s="210">
        <f t="shared" si="29"/>
        <v>1244.5044273972603</v>
      </c>
      <c r="W61" s="32">
        <f t="shared" si="30"/>
        <v>1269.3945159452055</v>
      </c>
      <c r="X61" s="32">
        <f t="shared" si="31"/>
        <v>1294.2846044931507</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3034290726.5020003</v>
      </c>
      <c r="P62" t="s">
        <v>25</v>
      </c>
      <c r="Q62" s="167"/>
      <c r="R62" s="210" t="s">
        <v>5820</v>
      </c>
      <c r="S62" s="195">
        <f>S61-2</f>
        <v>89</v>
      </c>
      <c r="T62" s="210" t="s">
        <v>5869</v>
      </c>
      <c r="U62" s="210">
        <v>1170</v>
      </c>
      <c r="V62" s="210">
        <f t="shared" si="29"/>
        <v>1267.6645479452056</v>
      </c>
      <c r="W62" s="32">
        <f t="shared" si="30"/>
        <v>1293.0178389041098</v>
      </c>
      <c r="X62" s="32">
        <f t="shared" si="31"/>
        <v>1318.3711298630139</v>
      </c>
      <c r="Y62" s="120">
        <v>40201</v>
      </c>
      <c r="Z62" s="120"/>
      <c r="AA62" s="94"/>
      <c r="AB62" s="94"/>
      <c r="AC62" s="94"/>
      <c r="AH62" s="20">
        <v>43</v>
      </c>
      <c r="AI62" s="115" t="s">
        <v>4071</v>
      </c>
      <c r="AJ62" s="115">
        <v>200000</v>
      </c>
      <c r="AK62" s="20">
        <v>3</v>
      </c>
      <c r="AL62" s="97">
        <f>AL63+AK62</f>
        <v>862</v>
      </c>
      <c r="AM62" s="111">
        <f t="shared" si="10"/>
        <v>172400000</v>
      </c>
      <c r="AN62" s="20"/>
    </row>
    <row r="63" spans="1:45">
      <c r="E63" s="26"/>
      <c r="J63" s="112"/>
      <c r="K63" s="166" t="s">
        <v>593</v>
      </c>
      <c r="L63" s="111">
        <f>SUM(L16:L46)</f>
        <v>5247353482.1933794</v>
      </c>
      <c r="M63" s="166"/>
      <c r="N63" s="111">
        <f>N16+N17+N33</f>
        <v>641053</v>
      </c>
      <c r="P63" t="s">
        <v>25</v>
      </c>
      <c r="Q63" s="167"/>
      <c r="R63" s="210" t="s">
        <v>5866</v>
      </c>
      <c r="S63" s="195">
        <f>S62-64</f>
        <v>25</v>
      </c>
      <c r="T63" s="210" t="s">
        <v>5867</v>
      </c>
      <c r="U63" s="210">
        <v>1260</v>
      </c>
      <c r="V63" s="210">
        <f t="shared" si="29"/>
        <v>1303.316383561644</v>
      </c>
      <c r="W63" s="32">
        <f t="shared" si="30"/>
        <v>1329.382711232877</v>
      </c>
      <c r="X63" s="32">
        <f t="shared" si="31"/>
        <v>1355.4490389041098</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t="s">
        <v>594</v>
      </c>
      <c r="L64" s="111">
        <f>L16+L17+L26</f>
        <v>4956372</v>
      </c>
      <c r="M64" s="111"/>
      <c r="N64" s="166"/>
      <c r="O64" s="113"/>
      <c r="P64" s="113" t="s">
        <v>25</v>
      </c>
      <c r="Q64" s="167"/>
      <c r="R64" s="210" t="s">
        <v>5866</v>
      </c>
      <c r="S64" s="195">
        <f>S63</f>
        <v>25</v>
      </c>
      <c r="T64" s="210" t="s">
        <v>5868</v>
      </c>
      <c r="U64" s="210">
        <v>13501</v>
      </c>
      <c r="V64" s="210">
        <f t="shared" si="29"/>
        <v>13965.138487671235</v>
      </c>
      <c r="W64" s="32">
        <f t="shared" si="30"/>
        <v>14244.44125742466</v>
      </c>
      <c r="X64" s="32">
        <f t="shared" si="31"/>
        <v>14523.744027178085</v>
      </c>
      <c r="Y64" s="120"/>
      <c r="Z64" s="120"/>
      <c r="AA64" s="94">
        <v>89</v>
      </c>
      <c r="AB64" s="94"/>
      <c r="AC64" s="94"/>
      <c r="AH64" s="20">
        <v>45</v>
      </c>
      <c r="AI64" s="115" t="s">
        <v>4090</v>
      </c>
      <c r="AJ64" s="115">
        <v>1300000</v>
      </c>
      <c r="AK64" s="20">
        <v>0</v>
      </c>
      <c r="AL64" s="97">
        <f>AL65+AK64</f>
        <v>856</v>
      </c>
      <c r="AM64" s="111">
        <f t="shared" si="10"/>
        <v>1112800000</v>
      </c>
      <c r="AN64" s="20"/>
    </row>
    <row r="65" spans="1:40">
      <c r="K65" s="54" t="s">
        <v>709</v>
      </c>
      <c r="L65" s="1">
        <f>L63+N7</f>
        <v>5347353482.1933794</v>
      </c>
      <c r="O65" s="94"/>
      <c r="P65" s="120" t="s">
        <v>25</v>
      </c>
      <c r="Q65" s="167"/>
      <c r="R65" s="210" t="s">
        <v>5897</v>
      </c>
      <c r="S65" s="195">
        <f>S64-4</f>
        <v>21</v>
      </c>
      <c r="T65" s="210" t="s">
        <v>5899</v>
      </c>
      <c r="U65" s="210">
        <v>1243</v>
      </c>
      <c r="V65" s="210">
        <f t="shared" si="29"/>
        <v>1281.9178191780823</v>
      </c>
      <c r="W65" s="32">
        <f t="shared" si="30"/>
        <v>1307.5561755616438</v>
      </c>
      <c r="X65" s="32">
        <f t="shared" si="31"/>
        <v>1333.1945319452057</v>
      </c>
      <c r="Y65" s="120">
        <v>1243</v>
      </c>
      <c r="Z65" s="120"/>
      <c r="AA65" s="94"/>
      <c r="AB65" s="94"/>
      <c r="AC65" s="94"/>
      <c r="AH65" s="20">
        <v>45</v>
      </c>
      <c r="AI65" s="115" t="s">
        <v>4090</v>
      </c>
      <c r="AJ65" s="115">
        <v>995000</v>
      </c>
      <c r="AK65" s="20">
        <v>2</v>
      </c>
      <c r="AL65" s="97">
        <f t="shared" ref="AL65:AL92" si="32">AL66+AK65</f>
        <v>856</v>
      </c>
      <c r="AM65" s="111">
        <f t="shared" si="10"/>
        <v>851720000</v>
      </c>
      <c r="AN65" s="20"/>
    </row>
    <row r="66" spans="1:40">
      <c r="M66" s="25"/>
      <c r="O66" t="s">
        <v>25</v>
      </c>
      <c r="Q66" s="167"/>
      <c r="R66" s="210" t="s">
        <v>5943</v>
      </c>
      <c r="S66" s="195">
        <f>S65-25</f>
        <v>-4</v>
      </c>
      <c r="T66" s="210" t="s">
        <v>5948</v>
      </c>
      <c r="U66" s="210">
        <v>14698</v>
      </c>
      <c r="V66" s="210">
        <f t="shared" si="29"/>
        <v>14876.308887671234</v>
      </c>
      <c r="W66" s="32">
        <f t="shared" si="30"/>
        <v>15173.835065424659</v>
      </c>
      <c r="X66" s="32">
        <f t="shared" si="31"/>
        <v>15471.361243178084</v>
      </c>
      <c r="Y66" s="120"/>
      <c r="Z66" s="120"/>
      <c r="AA66" s="94">
        <v>632</v>
      </c>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M67" s="25"/>
      <c r="N67" s="273" t="s">
        <v>5220</v>
      </c>
      <c r="O67" s="94" t="s">
        <v>25</v>
      </c>
      <c r="P67" s="113"/>
      <c r="Q67" s="167"/>
      <c r="R67" s="210" t="s">
        <v>5943</v>
      </c>
      <c r="S67" s="195">
        <f>S66</f>
        <v>-4</v>
      </c>
      <c r="T67" s="210" t="s">
        <v>5949</v>
      </c>
      <c r="U67" s="210">
        <v>1301.0999999999999</v>
      </c>
      <c r="V67" s="210">
        <f t="shared" si="29"/>
        <v>1316.8843035616437</v>
      </c>
      <c r="W67" s="32">
        <f t="shared" si="30"/>
        <v>1343.2219896328766</v>
      </c>
      <c r="X67" s="32">
        <f t="shared" si="31"/>
        <v>1369.5596757041096</v>
      </c>
      <c r="Y67" s="120"/>
      <c r="Z67" s="120">
        <v>1289</v>
      </c>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175"/>
      <c r="N68" s="94"/>
      <c r="O68" s="94"/>
      <c r="P68" s="113"/>
      <c r="Q68" s="167"/>
      <c r="R68" s="210" t="s">
        <v>5943</v>
      </c>
      <c r="S68" s="195">
        <f>S67</f>
        <v>-4</v>
      </c>
      <c r="T68" s="210" t="s">
        <v>5950</v>
      </c>
      <c r="U68" s="210">
        <v>7722</v>
      </c>
      <c r="V68" s="210">
        <f t="shared" si="29"/>
        <v>7815.6794958904111</v>
      </c>
      <c r="W68" s="32">
        <f t="shared" si="30"/>
        <v>7971.9930858082198</v>
      </c>
      <c r="X68" s="32">
        <f t="shared" si="31"/>
        <v>8128.3066757260276</v>
      </c>
      <c r="Y68" s="120"/>
      <c r="Z68" s="120"/>
      <c r="AA68" s="94"/>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94"/>
      <c r="N69" s="94"/>
      <c r="O69" s="94"/>
      <c r="Q69" s="167"/>
      <c r="R69" s="210" t="s">
        <v>5966</v>
      </c>
      <c r="S69" s="195">
        <f>S68-3</f>
        <v>-7</v>
      </c>
      <c r="T69" s="210" t="s">
        <v>5969</v>
      </c>
      <c r="U69" s="210">
        <v>14600</v>
      </c>
      <c r="V69" s="210">
        <f t="shared" si="29"/>
        <v>14743.52</v>
      </c>
      <c r="W69" s="32">
        <f t="shared" si="30"/>
        <v>15038.3904</v>
      </c>
      <c r="X69" s="32">
        <f t="shared" si="31"/>
        <v>15333.260800000002</v>
      </c>
      <c r="Y69" s="120"/>
      <c r="Z69" s="120"/>
      <c r="AA69" s="94">
        <v>1</v>
      </c>
      <c r="AB69" s="94"/>
      <c r="AC69" s="94"/>
      <c r="AH69" s="20">
        <v>49</v>
      </c>
      <c r="AI69" s="115" t="s">
        <v>4132</v>
      </c>
      <c r="AJ69" s="115">
        <v>33500000</v>
      </c>
      <c r="AK69" s="20">
        <v>1</v>
      </c>
      <c r="AL69" s="97">
        <f t="shared" si="32"/>
        <v>848</v>
      </c>
      <c r="AM69" s="111">
        <f t="shared" si="10"/>
        <v>28408000000</v>
      </c>
      <c r="AN69" s="20"/>
    </row>
    <row r="70" spans="1:40">
      <c r="G70" t="s">
        <v>4084</v>
      </c>
      <c r="M70" s="120" t="s">
        <v>4375</v>
      </c>
      <c r="O70" s="112"/>
      <c r="Q70" s="167"/>
      <c r="R70" s="210" t="s">
        <v>5971</v>
      </c>
      <c r="S70" s="195">
        <f>S69-1</f>
        <v>-8</v>
      </c>
      <c r="T70" s="210" t="s">
        <v>5974</v>
      </c>
      <c r="U70" s="210">
        <v>7450</v>
      </c>
      <c r="V70" s="210">
        <f t="shared" si="29"/>
        <v>7517.5194520547957</v>
      </c>
      <c r="W70" s="32">
        <f t="shared" si="30"/>
        <v>7667.8698410958914</v>
      </c>
      <c r="X70" s="32">
        <f t="shared" si="31"/>
        <v>7818.220230136988</v>
      </c>
      <c r="Y70" s="120"/>
      <c r="Z70" s="120"/>
      <c r="AA70" s="94"/>
      <c r="AH70" s="20">
        <v>50</v>
      </c>
      <c r="AI70" s="115" t="s">
        <v>4137</v>
      </c>
      <c r="AJ70" s="115">
        <v>12000000</v>
      </c>
      <c r="AK70" s="20">
        <v>1</v>
      </c>
      <c r="AL70" s="97">
        <f t="shared" si="32"/>
        <v>847</v>
      </c>
      <c r="AM70" s="115">
        <f t="shared" si="10"/>
        <v>10164000000</v>
      </c>
      <c r="AN70" s="20"/>
    </row>
    <row r="71" spans="1:40">
      <c r="G71" t="s">
        <v>4085</v>
      </c>
      <c r="M71" s="120"/>
      <c r="N71" s="94"/>
      <c r="Q71" s="167"/>
      <c r="R71" s="210" t="s">
        <v>5972</v>
      </c>
      <c r="S71" s="195">
        <f>S70-1</f>
        <v>-9</v>
      </c>
      <c r="T71" s="210" t="s">
        <v>5973</v>
      </c>
      <c r="U71" s="210">
        <v>1066</v>
      </c>
      <c r="V71" s="210">
        <f t="shared" si="29"/>
        <v>1074.8434191780823</v>
      </c>
      <c r="W71" s="32">
        <f t="shared" si="30"/>
        <v>1096.3402875616439</v>
      </c>
      <c r="X71" s="32">
        <f t="shared" si="31"/>
        <v>1117.8371559452057</v>
      </c>
      <c r="Y71" s="120">
        <v>30970</v>
      </c>
      <c r="Z71" s="120"/>
      <c r="AA71" s="94"/>
      <c r="AH71" s="20">
        <v>51</v>
      </c>
      <c r="AI71" s="115" t="s">
        <v>4142</v>
      </c>
      <c r="AJ71" s="115">
        <v>15500000</v>
      </c>
      <c r="AK71" s="20">
        <v>4</v>
      </c>
      <c r="AL71" s="97">
        <f t="shared" si="32"/>
        <v>846</v>
      </c>
      <c r="AM71" s="115">
        <f t="shared" si="10"/>
        <v>13113000000</v>
      </c>
      <c r="AN71" s="20"/>
    </row>
    <row r="72" spans="1:40">
      <c r="G72" t="s">
        <v>4089</v>
      </c>
      <c r="M72" s="120" t="s">
        <v>4522</v>
      </c>
      <c r="N72" s="94"/>
      <c r="O72" s="274"/>
      <c r="P72" t="s">
        <v>25</v>
      </c>
      <c r="Q72" s="167"/>
      <c r="R72" s="210"/>
      <c r="S72" s="195"/>
      <c r="T72" s="210"/>
      <c r="U72" s="210"/>
      <c r="V72" s="210"/>
      <c r="W72" s="32"/>
      <c r="X72" s="32"/>
      <c r="Y72" s="120"/>
      <c r="Z72" s="120"/>
      <c r="AA72" s="94"/>
      <c r="AH72" s="20">
        <v>52</v>
      </c>
      <c r="AI72" s="115" t="s">
        <v>4146</v>
      </c>
      <c r="AJ72" s="115">
        <v>150000</v>
      </c>
      <c r="AK72" s="20">
        <v>1</v>
      </c>
      <c r="AL72" s="97">
        <f t="shared" si="32"/>
        <v>842</v>
      </c>
      <c r="AM72" s="115">
        <f t="shared" si="10"/>
        <v>126300000</v>
      </c>
      <c r="AN72" s="20"/>
    </row>
    <row r="73" spans="1:40" ht="30">
      <c r="G73" t="s">
        <v>4088</v>
      </c>
      <c r="M73" s="203" t="s">
        <v>4625</v>
      </c>
      <c r="N73" s="94"/>
      <c r="P73" s="113"/>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ht="31.5">
      <c r="K74" s="209" t="s">
        <v>4668</v>
      </c>
      <c r="L74" s="22" t="s">
        <v>4646</v>
      </c>
      <c r="M74" s="251" t="s">
        <v>4946</v>
      </c>
      <c r="N74" s="94"/>
      <c r="P74" s="113"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c r="G75" s="94"/>
      <c r="H75" s="94"/>
      <c r="K75" t="s">
        <v>4669</v>
      </c>
      <c r="M75" s="120"/>
      <c r="O75" t="s">
        <v>25</v>
      </c>
      <c r="P75" s="113"/>
      <c r="Q75" s="167">
        <f>SUM(N21:N23)-SUM(Q20:Q74)</f>
        <v>950904034.67580938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c r="D76" s="3"/>
      <c r="E76" s="11" t="s">
        <v>304</v>
      </c>
      <c r="G76" s="94"/>
      <c r="H76" s="94"/>
      <c r="K76" t="s">
        <v>4525</v>
      </c>
      <c r="L76" s="94"/>
      <c r="M76" s="94"/>
      <c r="N76" s="111"/>
      <c r="P76" s="114"/>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4728</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4729</v>
      </c>
      <c r="N78" t="s">
        <v>5754</v>
      </c>
      <c r="P78" s="113"/>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2.25">
      <c r="D79" s="1" t="s">
        <v>306</v>
      </c>
      <c r="E79" s="1">
        <v>80000</v>
      </c>
      <c r="G79" s="94"/>
      <c r="H79" s="94"/>
      <c r="K79" t="s">
        <v>4730</v>
      </c>
      <c r="M79" s="248"/>
      <c r="N79" t="s">
        <v>5753</v>
      </c>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4487</v>
      </c>
      <c r="Q80" s="166">
        <v>0</v>
      </c>
      <c r="R80" s="166" t="s">
        <v>4152</v>
      </c>
      <c r="S80" s="166">
        <f>S106</f>
        <v>924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c r="D81" s="31" t="s">
        <v>308</v>
      </c>
      <c r="E81" s="1">
        <v>300000</v>
      </c>
      <c r="G81" s="94"/>
      <c r="H81" s="94"/>
      <c r="J81" t="s">
        <v>25</v>
      </c>
      <c r="K81" t="s">
        <v>4528</v>
      </c>
      <c r="M81" s="253" t="s">
        <v>4951</v>
      </c>
      <c r="Q81" s="167">
        <v>863944</v>
      </c>
      <c r="R81" s="166" t="s">
        <v>4397</v>
      </c>
      <c r="S81" s="166">
        <f>S80-62</f>
        <v>862</v>
      </c>
      <c r="T81" s="188" t="s">
        <v>4458</v>
      </c>
      <c r="U81" s="166">
        <v>184.6</v>
      </c>
      <c r="V81" s="166">
        <f t="shared" ref="V81:V95" si="34">U81*(1+$R$102+$Q$15*S81/36500)</f>
        <v>309.47456657534246</v>
      </c>
      <c r="W81" s="32">
        <f t="shared" ref="W81:W88" si="35">V81*(1+$W$19/100)</f>
        <v>315.66405790684934</v>
      </c>
      <c r="X81" s="32">
        <f t="shared" ref="X81:X88" si="36">V81*(1+$X$19/100)</f>
        <v>321.85354923835615</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4486</v>
      </c>
      <c r="M82" s="253" t="s">
        <v>4952</v>
      </c>
      <c r="Q82" s="167">
        <v>1692313</v>
      </c>
      <c r="R82" s="166" t="s">
        <v>4461</v>
      </c>
      <c r="S82" s="195">
        <f>S81-21</f>
        <v>841</v>
      </c>
      <c r="T82" s="187" t="s">
        <v>4462</v>
      </c>
      <c r="U82" s="166">
        <v>168.5</v>
      </c>
      <c r="V82" s="166">
        <f t="shared" si="34"/>
        <v>279.76909041095888</v>
      </c>
      <c r="W82" s="32">
        <f t="shared" si="35"/>
        <v>285.36447221917808</v>
      </c>
      <c r="X82" s="32">
        <f t="shared" si="36"/>
        <v>290.95985402739723</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s="22" t="s">
        <v>4219</v>
      </c>
      <c r="Q83" s="167">
        <v>101153</v>
      </c>
      <c r="R83" s="166" t="s">
        <v>4464</v>
      </c>
      <c r="S83" s="195">
        <f>S82-1</f>
        <v>840</v>
      </c>
      <c r="T83" s="187" t="s">
        <v>4466</v>
      </c>
      <c r="U83" s="166">
        <v>166.7</v>
      </c>
      <c r="V83" s="166">
        <f t="shared" si="34"/>
        <v>276.6525797260274</v>
      </c>
      <c r="W83" s="32">
        <f t="shared" si="35"/>
        <v>282.18563132054794</v>
      </c>
      <c r="X83" s="32">
        <f t="shared" si="36"/>
        <v>287.71868291506848</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4483</v>
      </c>
      <c r="Q84" s="167">
        <v>183105</v>
      </c>
      <c r="R84" s="166" t="s">
        <v>4207</v>
      </c>
      <c r="S84" s="195">
        <f>S83-1</f>
        <v>839</v>
      </c>
      <c r="T84" s="187" t="s">
        <v>4470</v>
      </c>
      <c r="U84" s="166">
        <v>166.6</v>
      </c>
      <c r="V84" s="166">
        <f t="shared" si="34"/>
        <v>276.35881863013702</v>
      </c>
      <c r="W84" s="32">
        <f t="shared" si="35"/>
        <v>281.88599500273978</v>
      </c>
      <c r="X84" s="32">
        <f t="shared" si="36"/>
        <v>287.41317137534253</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ht="18.75">
      <c r="D85" s="32" t="s">
        <v>312</v>
      </c>
      <c r="E85" s="1">
        <v>200000</v>
      </c>
      <c r="G85" s="94"/>
      <c r="H85" s="94"/>
      <c r="K85" t="s">
        <v>4271</v>
      </c>
      <c r="M85" s="314" t="s">
        <v>5615</v>
      </c>
      <c r="Q85" s="167">
        <v>168846</v>
      </c>
      <c r="R85" s="166" t="s">
        <v>3675</v>
      </c>
      <c r="S85" s="195">
        <f>S84-30</f>
        <v>809</v>
      </c>
      <c r="T85" s="187" t="s">
        <v>4556</v>
      </c>
      <c r="U85" s="166">
        <v>172.2</v>
      </c>
      <c r="V85" s="166">
        <f t="shared" si="34"/>
        <v>281.68523178082194</v>
      </c>
      <c r="W85" s="32">
        <f t="shared" si="35"/>
        <v>287.31893641643836</v>
      </c>
      <c r="X85" s="32">
        <f t="shared" si="36"/>
        <v>292.95264105205484</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25</v>
      </c>
      <c r="M86" s="191"/>
      <c r="Q86" s="167">
        <v>19918023</v>
      </c>
      <c r="R86" s="5" t="s">
        <v>4788</v>
      </c>
      <c r="S86" s="195">
        <f>S85-75</f>
        <v>734</v>
      </c>
      <c r="T86" s="187" t="s">
        <v>4790</v>
      </c>
      <c r="U86" s="210">
        <v>183</v>
      </c>
      <c r="V86" s="210">
        <f t="shared" si="34"/>
        <v>288.82313424657536</v>
      </c>
      <c r="W86" s="32">
        <f t="shared" si="35"/>
        <v>294.59959693150688</v>
      </c>
      <c r="X86" s="32">
        <f t="shared" si="36"/>
        <v>300.3760596164384</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c r="D87" s="32" t="s">
        <v>315</v>
      </c>
      <c r="E87" s="1">
        <v>50000</v>
      </c>
      <c r="K87" s="94"/>
      <c r="Q87" s="167">
        <v>1200301</v>
      </c>
      <c r="R87" s="19" t="s">
        <v>4870</v>
      </c>
      <c r="S87" s="195">
        <f>S86-34</f>
        <v>700</v>
      </c>
      <c r="T87" s="187" t="s">
        <v>4872</v>
      </c>
      <c r="U87" s="210">
        <v>218.5</v>
      </c>
      <c r="V87" s="210">
        <f t="shared" si="34"/>
        <v>339.15270684931511</v>
      </c>
      <c r="W87" s="32">
        <f t="shared" si="35"/>
        <v>345.93576098630143</v>
      </c>
      <c r="X87" s="32">
        <f t="shared" si="36"/>
        <v>352.7188151232877</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K88" s="94"/>
      <c r="Q88" s="167">
        <v>5837196.2537021004</v>
      </c>
      <c r="R88" s="19" t="s">
        <v>4895</v>
      </c>
      <c r="S88" s="195">
        <f>S87-16</f>
        <v>684</v>
      </c>
      <c r="T88" s="187" t="s">
        <v>5645</v>
      </c>
      <c r="U88" s="210">
        <v>196.2</v>
      </c>
      <c r="V88" s="210">
        <f t="shared" si="34"/>
        <v>302.13079890410961</v>
      </c>
      <c r="W88" s="32">
        <f t="shared" si="35"/>
        <v>308.17341488219182</v>
      </c>
      <c r="X88" s="32">
        <f t="shared" si="36"/>
        <v>314.21603086027403</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F89" s="94"/>
      <c r="G89" s="94"/>
      <c r="H89" s="94"/>
      <c r="I89" s="94"/>
      <c r="J89" s="94"/>
      <c r="K89" s="167">
        <v>9625000</v>
      </c>
      <c r="L89" t="s">
        <v>3875</v>
      </c>
      <c r="Q89" s="167">
        <v>2948152</v>
      </c>
      <c r="R89" s="19" t="s">
        <v>5683</v>
      </c>
      <c r="S89" s="195">
        <f>S88-498</f>
        <v>186</v>
      </c>
      <c r="T89" s="187" t="s">
        <v>5684</v>
      </c>
      <c r="U89" s="210">
        <v>1550</v>
      </c>
      <c r="V89" s="210">
        <f t="shared" si="34"/>
        <v>1794.7216438356165</v>
      </c>
      <c r="W89" s="32">
        <f t="shared" ref="W89:W97" si="37">V89*(1+$W$19/100)</f>
        <v>1830.616076712329</v>
      </c>
      <c r="X89" s="32">
        <f t="shared" ref="X89:X97" si="38">V89*(1+$X$19/100)</f>
        <v>1866.5105095890412</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I90" s="94"/>
      <c r="J90" s="94"/>
      <c r="K90" s="167">
        <v>4000000</v>
      </c>
      <c r="L90" t="s">
        <v>5945</v>
      </c>
      <c r="M90" s="94"/>
      <c r="Q90" s="167"/>
      <c r="R90" s="19" t="s">
        <v>5794</v>
      </c>
      <c r="S90" s="195">
        <f>S89-83</f>
        <v>103</v>
      </c>
      <c r="T90" s="187" t="s">
        <v>5796</v>
      </c>
      <c r="U90" s="210">
        <v>1275</v>
      </c>
      <c r="V90" s="210">
        <f t="shared" si="34"/>
        <v>1395.1224657534249</v>
      </c>
      <c r="W90" s="32">
        <f t="shared" si="37"/>
        <v>1423.0249150684933</v>
      </c>
      <c r="X90" s="32">
        <f t="shared" si="38"/>
        <v>1450.927364383562</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167">
        <v>31700000</v>
      </c>
      <c r="L91" s="94" t="s">
        <v>5946</v>
      </c>
      <c r="M91" s="94"/>
      <c r="Q91" s="167"/>
      <c r="R91" s="19" t="s">
        <v>5806</v>
      </c>
      <c r="S91" s="195">
        <f>S90-5</f>
        <v>98</v>
      </c>
      <c r="T91" s="187" t="s">
        <v>5808</v>
      </c>
      <c r="U91" s="210">
        <v>1210</v>
      </c>
      <c r="V91" s="210">
        <f t="shared" si="34"/>
        <v>1319.357479452055</v>
      </c>
      <c r="W91" s="32">
        <f t="shared" si="37"/>
        <v>1345.7446290410962</v>
      </c>
      <c r="X91" s="32">
        <f t="shared" si="38"/>
        <v>1372.1317786301372</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L92" s="94"/>
      <c r="Q92" s="167"/>
      <c r="R92" s="19" t="s">
        <v>5814</v>
      </c>
      <c r="S92" s="195">
        <f>S91-4</f>
        <v>94</v>
      </c>
      <c r="T92" s="187" t="s">
        <v>5815</v>
      </c>
      <c r="U92" s="210">
        <v>1175</v>
      </c>
      <c r="V92" s="210">
        <f t="shared" si="34"/>
        <v>1277.5887671232879</v>
      </c>
      <c r="W92" s="32">
        <f t="shared" si="37"/>
        <v>1303.1405424657537</v>
      </c>
      <c r="X92" s="32">
        <f t="shared" si="38"/>
        <v>1328.6923178082195</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Q93" s="167"/>
      <c r="R93" s="19" t="s">
        <v>5816</v>
      </c>
      <c r="S93" s="195">
        <f>S92-3</f>
        <v>91</v>
      </c>
      <c r="T93" s="187" t="s">
        <v>5819</v>
      </c>
      <c r="U93" s="210">
        <v>1148</v>
      </c>
      <c r="V93" s="210">
        <f t="shared" si="34"/>
        <v>1245.5894356164385</v>
      </c>
      <c r="W93" s="32">
        <f t="shared" si="37"/>
        <v>1270.5012243287674</v>
      </c>
      <c r="X93" s="32">
        <f t="shared" si="38"/>
        <v>1295.4130130410961</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t="s">
        <v>25</v>
      </c>
      <c r="J94" s="94"/>
      <c r="K94" s="94" t="s">
        <v>25</v>
      </c>
      <c r="Q94" s="167"/>
      <c r="R94" s="19" t="s">
        <v>5822</v>
      </c>
      <c r="S94" s="195">
        <f>S93-1</f>
        <v>90</v>
      </c>
      <c r="T94" s="187" t="s">
        <v>5823</v>
      </c>
      <c r="U94" s="210">
        <v>1141</v>
      </c>
      <c r="V94" s="210">
        <f t="shared" si="34"/>
        <v>1237.1190904109592</v>
      </c>
      <c r="W94" s="32">
        <f t="shared" si="37"/>
        <v>1261.8614722191785</v>
      </c>
      <c r="X94" s="32">
        <f t="shared" si="38"/>
        <v>1286.6038540273976</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c r="K95" s="167">
        <f>1.0039*(1150*P46+19848*P47)</f>
        <v>44907426.575199999</v>
      </c>
      <c r="Q95" s="167"/>
      <c r="R95" s="19" t="s">
        <v>5820</v>
      </c>
      <c r="S95" s="195">
        <f>S94-1</f>
        <v>89</v>
      </c>
      <c r="T95" s="187" t="s">
        <v>5824</v>
      </c>
      <c r="U95" s="210">
        <v>1171</v>
      </c>
      <c r="V95" s="210">
        <f t="shared" si="34"/>
        <v>1268.7480219178083</v>
      </c>
      <c r="W95" s="32">
        <f t="shared" si="37"/>
        <v>1294.1229823561644</v>
      </c>
      <c r="X95" s="32">
        <f t="shared" si="38"/>
        <v>1319.4979427945207</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t="s">
        <v>25</v>
      </c>
      <c r="M96" s="94"/>
      <c r="Q96" s="167"/>
      <c r="R96" s="19" t="s">
        <v>5891</v>
      </c>
      <c r="S96" s="195">
        <f>S95-65</f>
        <v>24</v>
      </c>
      <c r="T96" s="187" t="s">
        <v>5892</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t="s">
        <v>25</v>
      </c>
      <c r="K97" s="94" t="s">
        <v>25</v>
      </c>
      <c r="M97" s="94"/>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c r="J98" s="94" t="s">
        <v>25</v>
      </c>
      <c r="K98" s="112">
        <f>K95-SUM(K89:K92)</f>
        <v>-417573.42480000108</v>
      </c>
      <c r="L98" s="94"/>
      <c r="M98" s="94"/>
      <c r="Q98" s="111">
        <f>SUM(N27:N29)-SUM(Q80:Q97)</f>
        <v>330736042.7462979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L99" s="94"/>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t="s">
        <v>25</v>
      </c>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J101" t="s">
        <v>25</v>
      </c>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F103" s="210" t="s">
        <v>4620</v>
      </c>
      <c r="G103" s="210" t="s">
        <v>926</v>
      </c>
      <c r="H103" s="210" t="s">
        <v>4613</v>
      </c>
      <c r="I103" s="210" t="s">
        <v>4612</v>
      </c>
      <c r="J103" s="32" t="s">
        <v>4488</v>
      </c>
      <c r="K103" s="210" t="s">
        <v>4606</v>
      </c>
      <c r="L103" s="32" t="s">
        <v>4608</v>
      </c>
      <c r="M103" s="32" t="s">
        <v>4583</v>
      </c>
      <c r="N103" s="210" t="s">
        <v>4584</v>
      </c>
      <c r="W103" s="192"/>
      <c r="X103" s="192"/>
      <c r="AH103" s="97">
        <v>83</v>
      </c>
      <c r="AI103" s="111" t="s">
        <v>4509</v>
      </c>
      <c r="AJ103" s="111">
        <v>-5527618</v>
      </c>
      <c r="AK103" s="97">
        <v>0</v>
      </c>
      <c r="AL103" s="97">
        <f t="shared" si="39"/>
        <v>747</v>
      </c>
      <c r="AM103" s="115">
        <f t="shared" si="10"/>
        <v>-4129130646</v>
      </c>
      <c r="AN103" s="97"/>
    </row>
    <row r="104" spans="4:47" ht="30">
      <c r="F104" s="197">
        <f>$L$112/G104</f>
        <v>9709.1932457786115</v>
      </c>
      <c r="G104" s="197">
        <f>P47</f>
        <v>1066</v>
      </c>
      <c r="H104" s="197" t="s">
        <v>4713</v>
      </c>
      <c r="I104" s="197" t="s">
        <v>5311</v>
      </c>
      <c r="J104" s="211" t="s">
        <v>4219</v>
      </c>
      <c r="K104" s="197">
        <v>210</v>
      </c>
      <c r="L104" s="212">
        <f t="shared" ref="L104:L109" si="40">K104*$L$112</f>
        <v>2173500000</v>
      </c>
      <c r="M104" s="212">
        <f>N21+N29+N47+N42</f>
        <v>7803163706</v>
      </c>
      <c r="N104" s="181">
        <f t="shared" ref="N104:N109" si="41">L104-M104</f>
        <v>-5629663706</v>
      </c>
      <c r="P104" s="94"/>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v>0</v>
      </c>
      <c r="G105" s="210">
        <f>P46</f>
        <v>20500</v>
      </c>
      <c r="H105" s="210" t="s">
        <v>4873</v>
      </c>
      <c r="I105" s="210" t="s">
        <v>5312</v>
      </c>
      <c r="J105" s="32" t="s">
        <v>4361</v>
      </c>
      <c r="K105" s="210">
        <v>33</v>
      </c>
      <c r="L105" s="1">
        <f t="shared" si="40"/>
        <v>341550000</v>
      </c>
      <c r="M105" s="1">
        <f>N46+N27+N22</f>
        <v>41189400</v>
      </c>
      <c r="N105" s="111">
        <f t="shared" si="41"/>
        <v>300360600</v>
      </c>
      <c r="P105" s="94"/>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v>0</v>
      </c>
      <c r="G106" s="197">
        <f>P45</f>
        <v>14600</v>
      </c>
      <c r="H106" s="197" t="s">
        <v>4990</v>
      </c>
      <c r="I106" s="197" t="s">
        <v>5313</v>
      </c>
      <c r="J106" s="211" t="s">
        <v>4357</v>
      </c>
      <c r="K106" s="197">
        <v>0</v>
      </c>
      <c r="L106" s="212">
        <f t="shared" si="40"/>
        <v>0</v>
      </c>
      <c r="M106" s="212">
        <f>N45+N23</f>
        <v>27900600</v>
      </c>
      <c r="N106" s="181">
        <f t="shared" si="41"/>
        <v>-27900600</v>
      </c>
      <c r="P106" s="94"/>
      <c r="Q106" s="35">
        <v>38474780.062005915</v>
      </c>
      <c r="R106" s="5" t="s">
        <v>4152</v>
      </c>
      <c r="S106" s="5">
        <v>924</v>
      </c>
      <c r="T106" s="5" t="s">
        <v>5612</v>
      </c>
      <c r="U106" s="166">
        <v>192</v>
      </c>
      <c r="V106" s="97">
        <f t="shared" ref="V106:V136" si="42">U106*(1+$R$102+$Q$15*S106/36500)</f>
        <v>331.01220821917809</v>
      </c>
      <c r="W106" s="32">
        <f t="shared" ref="W106" si="43">V106*(1+$W$19/100)</f>
        <v>337.63245238356166</v>
      </c>
      <c r="X106" s="32">
        <f t="shared" ref="X106" si="44">V106*(1+$X$19/100)</f>
        <v>344.25269654794522</v>
      </c>
      <c r="Y106" s="94">
        <v>200000</v>
      </c>
      <c r="AH106" s="97">
        <v>86</v>
      </c>
      <c r="AI106" s="111" t="s">
        <v>4520</v>
      </c>
      <c r="AJ106" s="111">
        <v>-25574455</v>
      </c>
      <c r="AK106" s="97">
        <v>0</v>
      </c>
      <c r="AL106" s="97">
        <f t="shared" si="39"/>
        <v>743</v>
      </c>
      <c r="AM106" s="115">
        <f t="shared" si="10"/>
        <v>-19001820065</v>
      </c>
      <c r="AN106" s="97"/>
      <c r="AP106" t="s">
        <v>25</v>
      </c>
    </row>
    <row r="107" spans="4:47">
      <c r="F107" s="187"/>
      <c r="G107" s="187"/>
      <c r="H107" s="187"/>
      <c r="I107" s="187"/>
      <c r="J107" s="277" t="s">
        <v>5314</v>
      </c>
      <c r="K107" s="187">
        <v>0</v>
      </c>
      <c r="L107" s="278">
        <f t="shared" si="40"/>
        <v>0</v>
      </c>
      <c r="M107" s="278">
        <f>N20+N26+N40</f>
        <v>1512228</v>
      </c>
      <c r="N107" s="186">
        <f t="shared" si="41"/>
        <v>-1512228</v>
      </c>
      <c r="P107" s="94"/>
      <c r="Q107" s="167">
        <v>433201621</v>
      </c>
      <c r="R107" s="210" t="s">
        <v>5617</v>
      </c>
      <c r="S107" s="210">
        <f>S106-695</f>
        <v>229</v>
      </c>
      <c r="T107" s="210" t="s">
        <v>5624</v>
      </c>
      <c r="U107" s="210">
        <v>1995.5</v>
      </c>
      <c r="V107" s="97">
        <f t="shared" si="42"/>
        <v>2376.3835452054795</v>
      </c>
      <c r="W107" s="32">
        <f t="shared" ref="W107:W108" si="45">V107*(1+$W$19/100)</f>
        <v>2423.9112161095891</v>
      </c>
      <c r="X107" s="32">
        <f t="shared" ref="X107:X108" si="46">V107*(1+$X$19/100)</f>
        <v>2471.4388870136986</v>
      </c>
      <c r="Y107">
        <v>216287</v>
      </c>
      <c r="Z107" t="s">
        <v>25</v>
      </c>
      <c r="AB107" s="94"/>
      <c r="AH107" s="97">
        <v>87</v>
      </c>
      <c r="AI107" s="111" t="s">
        <v>4520</v>
      </c>
      <c r="AJ107" s="111">
        <v>4000000</v>
      </c>
      <c r="AK107" s="97">
        <v>1</v>
      </c>
      <c r="AL107" s="97">
        <f t="shared" si="39"/>
        <v>743</v>
      </c>
      <c r="AM107" s="115">
        <f t="shared" si="10"/>
        <v>2972000000</v>
      </c>
      <c r="AN107" s="97"/>
    </row>
    <row r="108" spans="4:47">
      <c r="F108" s="197"/>
      <c r="G108" s="197"/>
      <c r="H108" s="197"/>
      <c r="I108" s="197"/>
      <c r="J108" s="211" t="s">
        <v>314</v>
      </c>
      <c r="K108" s="197">
        <v>1</v>
      </c>
      <c r="L108" s="212">
        <f t="shared" si="40"/>
        <v>10350000</v>
      </c>
      <c r="M108" s="212">
        <v>0</v>
      </c>
      <c r="N108" s="181">
        <f t="shared" si="41"/>
        <v>10350000</v>
      </c>
      <c r="P108" t="s">
        <v>25</v>
      </c>
      <c r="Q108" s="167">
        <v>8201348.2384272004</v>
      </c>
      <c r="R108" s="210" t="s">
        <v>5620</v>
      </c>
      <c r="S108" s="210">
        <f>S107-5</f>
        <v>224</v>
      </c>
      <c r="T108" s="210" t="s">
        <v>5675</v>
      </c>
      <c r="U108" s="210">
        <v>1751</v>
      </c>
      <c r="V108" s="97">
        <f t="shared" si="42"/>
        <v>2078.4993643835619</v>
      </c>
      <c r="W108" s="32">
        <f t="shared" si="45"/>
        <v>2120.0693516712331</v>
      </c>
      <c r="X108" s="32">
        <f t="shared" si="46"/>
        <v>2161.6393389589043</v>
      </c>
      <c r="Y108">
        <v>4667</v>
      </c>
      <c r="AB108" s="94"/>
      <c r="AH108" s="97">
        <v>88</v>
      </c>
      <c r="AI108" s="111" t="s">
        <v>979</v>
      </c>
      <c r="AJ108" s="111">
        <v>-5000000</v>
      </c>
      <c r="AK108" s="97">
        <v>2</v>
      </c>
      <c r="AL108" s="97">
        <f t="shared" si="39"/>
        <v>742</v>
      </c>
      <c r="AM108" s="115">
        <f t="shared" si="10"/>
        <v>-3710000000</v>
      </c>
      <c r="AN108" s="97"/>
    </row>
    <row r="109" spans="4:47">
      <c r="F109" s="189"/>
      <c r="G109" s="189"/>
      <c r="H109" s="189"/>
      <c r="I109" s="189"/>
      <c r="J109" s="249" t="s">
        <v>5424</v>
      </c>
      <c r="K109" s="189">
        <v>532</v>
      </c>
      <c r="L109" s="250">
        <f t="shared" si="40"/>
        <v>5506200000</v>
      </c>
      <c r="M109" s="250">
        <v>0</v>
      </c>
      <c r="N109" s="84">
        <f t="shared" si="41"/>
        <v>5506200000</v>
      </c>
      <c r="P109" t="s">
        <v>25</v>
      </c>
      <c r="Q109" s="167">
        <v>106896832</v>
      </c>
      <c r="R109" s="210" t="s">
        <v>5677</v>
      </c>
      <c r="S109" s="210">
        <f>S108-36</f>
        <v>188</v>
      </c>
      <c r="T109" s="210" t="s">
        <v>5678</v>
      </c>
      <c r="U109" s="210">
        <v>1715</v>
      </c>
      <c r="V109" s="97">
        <f t="shared" si="42"/>
        <v>1988.4038904109591</v>
      </c>
      <c r="W109" s="32">
        <f t="shared" ref="W109" si="47">V109*(1+$W$19/100)</f>
        <v>2028.1719682191783</v>
      </c>
      <c r="X109" s="32">
        <f t="shared" ref="X109" si="48">V109*(1+$X$19/100)</f>
        <v>2067.9400460273973</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210"/>
      <c r="G110" s="210"/>
      <c r="H110" s="210"/>
      <c r="I110" s="210"/>
      <c r="J110" s="32" t="s">
        <v>4688</v>
      </c>
      <c r="K110" s="210"/>
      <c r="L110" s="1"/>
      <c r="M110" s="1"/>
      <c r="N110" s="111">
        <f>20000000-L41</f>
        <v>20000000</v>
      </c>
      <c r="O110" t="s">
        <v>25</v>
      </c>
      <c r="P110" t="s">
        <v>25</v>
      </c>
      <c r="Q110" s="167">
        <v>455942528</v>
      </c>
      <c r="R110" s="210" t="s">
        <v>5679</v>
      </c>
      <c r="S110" s="210">
        <f>S109-1</f>
        <v>187</v>
      </c>
      <c r="T110" s="210" t="s">
        <v>5681</v>
      </c>
      <c r="U110" s="210">
        <v>1631</v>
      </c>
      <c r="V110" s="97">
        <f t="shared" si="42"/>
        <v>1889.7615013698633</v>
      </c>
      <c r="W110" s="32">
        <f t="shared" ref="W110:W111" si="49">V110*(1+$W$19/100)</f>
        <v>1927.5567313972606</v>
      </c>
      <c r="X110" s="32">
        <f t="shared" ref="X110:X111" si="50">V110*(1+$X$19/100)</f>
        <v>1965.3519614246579</v>
      </c>
      <c r="Y110">
        <v>278514</v>
      </c>
      <c r="AA110" t="s">
        <v>25</v>
      </c>
      <c r="AC110" t="s">
        <v>25</v>
      </c>
      <c r="AH110" s="97">
        <v>90</v>
      </c>
      <c r="AI110" s="111" t="s">
        <v>4526</v>
      </c>
      <c r="AJ110" s="111">
        <v>-5241937</v>
      </c>
      <c r="AK110" s="97">
        <v>0</v>
      </c>
      <c r="AL110" s="97">
        <f t="shared" si="39"/>
        <v>736</v>
      </c>
      <c r="AM110" s="115">
        <f t="shared" si="10"/>
        <v>-3858065632</v>
      </c>
      <c r="AN110" s="97"/>
    </row>
    <row r="111" spans="4:47">
      <c r="F111" s="197"/>
      <c r="G111" s="197"/>
      <c r="H111" s="197"/>
      <c r="I111" s="197"/>
      <c r="J111" s="211" t="s">
        <v>5009</v>
      </c>
      <c r="K111" s="197">
        <f>SUM(K104:K109)</f>
        <v>776</v>
      </c>
      <c r="L111" s="212"/>
      <c r="M111" s="212"/>
      <c r="N111" s="181"/>
      <c r="Q111" s="167">
        <v>834999909.33089697</v>
      </c>
      <c r="R111" s="210" t="s">
        <v>5683</v>
      </c>
      <c r="S111" s="210">
        <f>S110-1</f>
        <v>186</v>
      </c>
      <c r="T111" s="210" t="s">
        <v>5702</v>
      </c>
      <c r="U111" s="210">
        <v>1567.4</v>
      </c>
      <c r="V111" s="97">
        <f t="shared" si="42"/>
        <v>1814.8688416438358</v>
      </c>
      <c r="W111" s="32">
        <f t="shared" si="49"/>
        <v>1851.1662184767126</v>
      </c>
      <c r="X111" s="32">
        <f t="shared" si="50"/>
        <v>1887.4635953095892</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t="s">
        <v>25</v>
      </c>
      <c r="I112" s="210"/>
      <c r="J112" s="32"/>
      <c r="K112" s="210">
        <v>0</v>
      </c>
      <c r="L112" s="39">
        <f>10*P51</f>
        <v>10350000</v>
      </c>
      <c r="M112" s="1">
        <f>K112*L112</f>
        <v>0</v>
      </c>
      <c r="N112" s="111">
        <f>SUM(N104:N110)-M112</f>
        <v>177834066</v>
      </c>
      <c r="P112" s="112"/>
      <c r="Q112" s="167"/>
      <c r="R112" s="210" t="s">
        <v>5703</v>
      </c>
      <c r="S112" s="210">
        <f>S111-13</f>
        <v>173</v>
      </c>
      <c r="T112" s="210" t="s">
        <v>5704</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c r="K113" s="237"/>
      <c r="L113" s="212" t="s">
        <v>4229</v>
      </c>
      <c r="M113" s="212" t="s">
        <v>4600</v>
      </c>
      <c r="N113" s="181" t="s">
        <v>4601</v>
      </c>
      <c r="P113" t="s">
        <v>25</v>
      </c>
      <c r="Q113" s="167" t="s">
        <v>25</v>
      </c>
      <c r="R113" s="210" t="s">
        <v>5705</v>
      </c>
      <c r="S113" s="210">
        <f>S112-1</f>
        <v>172</v>
      </c>
      <c r="T113" s="210" t="s">
        <v>5706</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c r="I114" s="210"/>
      <c r="J114" s="32" t="s">
        <v>4607</v>
      </c>
      <c r="K114" s="210"/>
      <c r="L114" s="1"/>
      <c r="M114" s="1"/>
      <c r="N114" s="111"/>
      <c r="Q114" s="167"/>
      <c r="R114" s="210" t="s">
        <v>5707</v>
      </c>
      <c r="S114" s="210">
        <f>S113-1</f>
        <v>171</v>
      </c>
      <c r="T114" s="210" t="s">
        <v>5761</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M115" t="s">
        <v>25</v>
      </c>
      <c r="Q115" s="167"/>
      <c r="R115" s="210" t="s">
        <v>5766</v>
      </c>
      <c r="S115" s="210">
        <f>S114-53</f>
        <v>118</v>
      </c>
      <c r="T115" s="210" t="s">
        <v>5767</v>
      </c>
      <c r="U115" s="210">
        <v>1500</v>
      </c>
      <c r="V115" s="97">
        <f t="shared" si="42"/>
        <v>1658.5808219178082</v>
      </c>
      <c r="W115" s="32">
        <f t="shared" ref="W115:W141" si="53">V115*(1+$W$19/100)</f>
        <v>1691.7524383561645</v>
      </c>
      <c r="X115" s="32">
        <f t="shared" ref="X115:X141" si="54">V115*(1+$X$19/100)</f>
        <v>1724.9240547945205</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G116" s="94" t="s">
        <v>25</v>
      </c>
      <c r="H116" s="94"/>
      <c r="I116" s="94"/>
      <c r="J116" s="94"/>
      <c r="P116" s="112"/>
      <c r="Q116" s="167"/>
      <c r="R116" s="210" t="s">
        <v>5768</v>
      </c>
      <c r="S116" s="210">
        <f>S115-1</f>
        <v>117</v>
      </c>
      <c r="T116" s="210" t="s">
        <v>5769</v>
      </c>
      <c r="U116" s="210">
        <v>1440</v>
      </c>
      <c r="V116" s="97">
        <f t="shared" si="42"/>
        <v>1591.1329315068494</v>
      </c>
      <c r="W116" s="32">
        <f t="shared" si="53"/>
        <v>1622.9555901369865</v>
      </c>
      <c r="X116" s="32">
        <f t="shared" si="54"/>
        <v>1654.7782487671234</v>
      </c>
      <c r="Y116" s="94">
        <v>682</v>
      </c>
      <c r="Z116" s="94"/>
      <c r="AA116" s="94"/>
      <c r="AH116" s="97">
        <v>96</v>
      </c>
      <c r="AI116" s="111" t="s">
        <v>4545</v>
      </c>
      <c r="AJ116" s="111">
        <v>4000000</v>
      </c>
      <c r="AK116" s="97">
        <v>1</v>
      </c>
      <c r="AL116" s="97">
        <f t="shared" si="39"/>
        <v>730</v>
      </c>
      <c r="AM116" s="115">
        <f t="shared" si="10"/>
        <v>2920000000</v>
      </c>
      <c r="AN116" s="97"/>
    </row>
    <row r="117" spans="6:46">
      <c r="G117" s="94"/>
      <c r="H117" s="94"/>
      <c r="I117" s="94"/>
      <c r="J117" s="94"/>
      <c r="K117" s="166" t="s">
        <v>4488</v>
      </c>
      <c r="L117" s="166" t="s">
        <v>4489</v>
      </c>
      <c r="M117" s="166" t="s">
        <v>4395</v>
      </c>
      <c r="N117" s="54" t="s">
        <v>190</v>
      </c>
      <c r="Q117" s="167"/>
      <c r="R117" s="210" t="s">
        <v>5770</v>
      </c>
      <c r="S117" s="210">
        <f>S116-1</f>
        <v>116</v>
      </c>
      <c r="T117" s="210" t="s">
        <v>5771</v>
      </c>
      <c r="U117" s="210">
        <v>1362</v>
      </c>
      <c r="V117" s="97">
        <f t="shared" si="42"/>
        <v>1503.9017424657536</v>
      </c>
      <c r="W117" s="32">
        <f t="shared" si="53"/>
        <v>1533.9797773150688</v>
      </c>
      <c r="X117" s="32">
        <f t="shared" si="54"/>
        <v>1564.0578121643839</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c r="H118" s="94"/>
      <c r="I118" s="94"/>
      <c r="J118" s="94"/>
      <c r="K118" s="166" t="s">
        <v>4219</v>
      </c>
      <c r="L118" s="167">
        <v>1100000</v>
      </c>
      <c r="M118" s="167">
        <v>1637000</v>
      </c>
      <c r="N118" s="166">
        <f t="shared" ref="N118:N126" si="55">(M118-L118)*100/L118</f>
        <v>48.81818181818182</v>
      </c>
      <c r="Q118" s="167"/>
      <c r="R118" s="210" t="s">
        <v>5777</v>
      </c>
      <c r="S118" s="210">
        <f>S117-1</f>
        <v>115</v>
      </c>
      <c r="T118" s="210" t="s">
        <v>5778</v>
      </c>
      <c r="U118" s="210">
        <v>1330</v>
      </c>
      <c r="V118" s="97">
        <f t="shared" si="42"/>
        <v>1467.5475068493151</v>
      </c>
      <c r="W118" s="32">
        <f t="shared" si="53"/>
        <v>1496.8984569863014</v>
      </c>
      <c r="X118" s="32">
        <f t="shared" si="54"/>
        <v>1526.2494071232877</v>
      </c>
      <c r="Y118" s="94">
        <v>11986</v>
      </c>
      <c r="Z118" s="94"/>
      <c r="AA118" s="94"/>
      <c r="AH118" s="97">
        <v>98</v>
      </c>
      <c r="AI118" s="111" t="s">
        <v>4549</v>
      </c>
      <c r="AJ118" s="111">
        <v>13900000</v>
      </c>
      <c r="AK118" s="97">
        <v>2</v>
      </c>
      <c r="AL118" s="97">
        <f t="shared" si="39"/>
        <v>729</v>
      </c>
      <c r="AM118" s="115">
        <f t="shared" si="10"/>
        <v>10133100000</v>
      </c>
      <c r="AN118" s="97"/>
    </row>
    <row r="119" spans="6:46">
      <c r="F119" s="94"/>
      <c r="G119" s="94"/>
      <c r="H119" s="94"/>
      <c r="I119" s="94"/>
      <c r="J119" s="94"/>
      <c r="K119" s="5" t="s">
        <v>4483</v>
      </c>
      <c r="L119" s="167">
        <v>1100000</v>
      </c>
      <c r="M119" s="167">
        <v>4748000</v>
      </c>
      <c r="N119" s="166">
        <f t="shared" si="55"/>
        <v>331.63636363636363</v>
      </c>
      <c r="Q119" s="167"/>
      <c r="R119" s="210" t="s">
        <v>5783</v>
      </c>
      <c r="S119" s="210">
        <f>S118-4</f>
        <v>111</v>
      </c>
      <c r="T119" s="210" t="s">
        <v>5784</v>
      </c>
      <c r="U119" s="210">
        <v>1390</v>
      </c>
      <c r="V119" s="97">
        <f t="shared" si="42"/>
        <v>1529.4874520547946</v>
      </c>
      <c r="W119" s="32">
        <f t="shared" si="53"/>
        <v>1560.0772010958906</v>
      </c>
      <c r="X119" s="32">
        <f t="shared" si="54"/>
        <v>1590.6669501369865</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F120" s="94"/>
      <c r="G120" s="94"/>
      <c r="H120" s="94"/>
      <c r="I120" s="94"/>
      <c r="J120" s="94"/>
      <c r="K120" s="5" t="s">
        <v>4484</v>
      </c>
      <c r="L120" s="167">
        <v>1100000</v>
      </c>
      <c r="M120" s="167">
        <v>5137000</v>
      </c>
      <c r="N120" s="166">
        <f t="shared" si="55"/>
        <v>367</v>
      </c>
      <c r="Q120" s="167"/>
      <c r="R120" s="210" t="s">
        <v>5785</v>
      </c>
      <c r="S120" s="210">
        <f>S119-1</f>
        <v>110</v>
      </c>
      <c r="T120" s="210" t="s">
        <v>5786</v>
      </c>
      <c r="U120" s="210">
        <v>1350</v>
      </c>
      <c r="V120" s="97">
        <f t="shared" si="42"/>
        <v>1484.4378082191781</v>
      </c>
      <c r="W120" s="32">
        <f t="shared" si="53"/>
        <v>1514.1265643835618</v>
      </c>
      <c r="X120" s="32">
        <f t="shared" si="54"/>
        <v>1543.8153205479452</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7"/>
      <c r="H121" s="97" t="s">
        <v>5727</v>
      </c>
      <c r="I121" s="91" t="s">
        <v>5733</v>
      </c>
      <c r="J121" s="1">
        <v>260000000</v>
      </c>
      <c r="K121" s="317" t="s">
        <v>4357</v>
      </c>
      <c r="L121" s="167">
        <v>1100000</v>
      </c>
      <c r="M121" s="167">
        <v>4300000</v>
      </c>
      <c r="N121" s="166">
        <f t="shared" si="55"/>
        <v>290.90909090909093</v>
      </c>
      <c r="Q121" s="167"/>
      <c r="R121" s="210" t="s">
        <v>5787</v>
      </c>
      <c r="S121" s="210">
        <f>S120-2</f>
        <v>108</v>
      </c>
      <c r="T121" s="210" t="s">
        <v>5788</v>
      </c>
      <c r="U121" s="210">
        <v>1228</v>
      </c>
      <c r="V121" s="97">
        <f t="shared" si="42"/>
        <v>1348.4045589041098</v>
      </c>
      <c r="W121" s="32">
        <f t="shared" si="53"/>
        <v>1375.372650082192</v>
      </c>
      <c r="X121" s="32">
        <f t="shared" si="54"/>
        <v>1402.3407412602742</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7">
        <f>P47</f>
        <v>1066</v>
      </c>
      <c r="H122" s="97" t="s">
        <v>4219</v>
      </c>
      <c r="I122" s="97">
        <v>102500</v>
      </c>
      <c r="J122" s="1">
        <f>I122*G122</f>
        <v>109265000</v>
      </c>
      <c r="K122" s="318" t="s">
        <v>4374</v>
      </c>
      <c r="L122" s="167">
        <v>1100000</v>
      </c>
      <c r="M122" s="167">
        <v>3191000</v>
      </c>
      <c r="N122" s="166">
        <f t="shared" si="55"/>
        <v>190.09090909090909</v>
      </c>
      <c r="Q122" s="167"/>
      <c r="R122" s="210" t="s">
        <v>5792</v>
      </c>
      <c r="S122" s="210">
        <f>S121-4</f>
        <v>104</v>
      </c>
      <c r="T122" s="210" t="s">
        <v>5793</v>
      </c>
      <c r="U122" s="210">
        <v>1325</v>
      </c>
      <c r="V122" s="97">
        <f t="shared" si="42"/>
        <v>1450.8495890410961</v>
      </c>
      <c r="W122" s="32">
        <f t="shared" si="53"/>
        <v>1479.866580821918</v>
      </c>
      <c r="X122" s="32">
        <f t="shared" si="54"/>
        <v>1508.8835726027401</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f>P45</f>
        <v>14600</v>
      </c>
      <c r="H123" s="97" t="s">
        <v>4357</v>
      </c>
      <c r="I123" s="97">
        <v>13418</v>
      </c>
      <c r="J123" s="1">
        <f>I123*G123</f>
        <v>195902800</v>
      </c>
      <c r="K123" s="318" t="s">
        <v>4485</v>
      </c>
      <c r="L123" s="167">
        <v>1100000</v>
      </c>
      <c r="M123" s="167">
        <v>5623000</v>
      </c>
      <c r="N123" s="166">
        <f t="shared" si="55"/>
        <v>411.18181818181819</v>
      </c>
      <c r="Q123" s="167"/>
      <c r="R123" s="210" t="s">
        <v>5794</v>
      </c>
      <c r="S123" s="210">
        <f>S122-1</f>
        <v>103</v>
      </c>
      <c r="T123" s="210" t="s">
        <v>5844</v>
      </c>
      <c r="U123" s="210">
        <v>1285</v>
      </c>
      <c r="V123" s="97">
        <f t="shared" si="42"/>
        <v>1406.0646027397263</v>
      </c>
      <c r="W123" s="32">
        <f t="shared" si="53"/>
        <v>1434.1858947945209</v>
      </c>
      <c r="X123" s="32">
        <f t="shared" si="54"/>
        <v>1462.3071868493155</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c r="H124" s="97"/>
      <c r="I124" s="97" t="s">
        <v>25</v>
      </c>
      <c r="J124" s="1">
        <v>0</v>
      </c>
      <c r="K124" s="317" t="s">
        <v>4361</v>
      </c>
      <c r="L124" s="167">
        <v>1100000</v>
      </c>
      <c r="M124" s="167">
        <v>7728000</v>
      </c>
      <c r="N124" s="166">
        <f t="shared" si="55"/>
        <v>602.5454545454545</v>
      </c>
      <c r="Q124" s="167"/>
      <c r="R124" s="210" t="s">
        <v>5839</v>
      </c>
      <c r="S124" s="210">
        <f>S123-56</f>
        <v>47</v>
      </c>
      <c r="T124" s="210" t="s">
        <v>5843</v>
      </c>
      <c r="U124" s="210">
        <v>1354.1</v>
      </c>
      <c r="V124" s="97">
        <f t="shared" si="42"/>
        <v>1423.5041172602741</v>
      </c>
      <c r="W124" s="32">
        <f t="shared" si="53"/>
        <v>1451.9741996054797</v>
      </c>
      <c r="X124" s="32">
        <f t="shared" si="54"/>
        <v>1480.4442819506851</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c r="H125" s="97"/>
      <c r="I125" s="97"/>
      <c r="J125" s="1">
        <v>0</v>
      </c>
      <c r="K125" s="318" t="s">
        <v>4487</v>
      </c>
      <c r="L125" s="167">
        <v>1100000</v>
      </c>
      <c r="M125" s="167">
        <v>2904000</v>
      </c>
      <c r="N125" s="166">
        <f t="shared" si="55"/>
        <v>164</v>
      </c>
      <c r="Q125" s="167"/>
      <c r="R125" s="210" t="s">
        <v>5845</v>
      </c>
      <c r="S125" s="210">
        <f>S124-8</f>
        <v>39</v>
      </c>
      <c r="T125" s="210" t="s">
        <v>5864</v>
      </c>
      <c r="U125" s="210">
        <v>1266</v>
      </c>
      <c r="V125" s="97">
        <f t="shared" si="42"/>
        <v>1323.1191452054795</v>
      </c>
      <c r="W125" s="32">
        <f t="shared" si="53"/>
        <v>1349.581528109589</v>
      </c>
      <c r="X125" s="32">
        <f t="shared" si="54"/>
        <v>1376.0439110136988</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G126" s="97"/>
      <c r="H126" s="97" t="s">
        <v>938</v>
      </c>
      <c r="I126" s="148">
        <f>J122+J123+J124+J125-J121</f>
        <v>45167800</v>
      </c>
      <c r="J126" s="1">
        <v>0</v>
      </c>
      <c r="K126" s="255" t="s">
        <v>1070</v>
      </c>
      <c r="L126" s="167">
        <v>1100000</v>
      </c>
      <c r="M126" s="167">
        <v>3400000</v>
      </c>
      <c r="N126" s="166">
        <f t="shared" si="55"/>
        <v>209.09090909090909</v>
      </c>
      <c r="Q126" s="167"/>
      <c r="R126" s="210" t="s">
        <v>5845</v>
      </c>
      <c r="S126" s="210">
        <f>S125</f>
        <v>39</v>
      </c>
      <c r="T126" s="210" t="s">
        <v>5846</v>
      </c>
      <c r="U126" s="210">
        <v>1155</v>
      </c>
      <c r="V126" s="97">
        <f t="shared" si="42"/>
        <v>1207.1110684931507</v>
      </c>
      <c r="W126" s="32">
        <f t="shared" si="53"/>
        <v>1231.2532898630138</v>
      </c>
      <c r="X126" s="32">
        <f t="shared" si="54"/>
        <v>1255.3955112328767</v>
      </c>
      <c r="Y126" s="94">
        <v>16761</v>
      </c>
      <c r="Z126" s="94"/>
      <c r="AA126" s="94"/>
      <c r="AH126" s="97">
        <v>106</v>
      </c>
      <c r="AI126" s="111" t="s">
        <v>4502</v>
      </c>
      <c r="AJ126" s="111">
        <v>101000</v>
      </c>
      <c r="AK126" s="97">
        <v>0</v>
      </c>
      <c r="AL126" s="97">
        <f t="shared" si="56"/>
        <v>720</v>
      </c>
      <c r="AM126" s="115">
        <f t="shared" si="57"/>
        <v>72720000</v>
      </c>
      <c r="AN126" s="97"/>
      <c r="AQ126" t="s">
        <v>25</v>
      </c>
    </row>
    <row r="127" spans="6:46">
      <c r="K127" s="236" t="s">
        <v>5382</v>
      </c>
      <c r="Q127" s="167"/>
      <c r="R127" s="210" t="s">
        <v>5847</v>
      </c>
      <c r="S127" s="210">
        <f>S126-1</f>
        <v>38</v>
      </c>
      <c r="T127" s="210" t="s">
        <v>5848</v>
      </c>
      <c r="U127" s="210">
        <v>1135</v>
      </c>
      <c r="V127" s="97">
        <f t="shared" si="42"/>
        <v>1185.3380273972605</v>
      </c>
      <c r="W127" s="32">
        <f t="shared" si="53"/>
        <v>1209.0447879452056</v>
      </c>
      <c r="X127" s="32">
        <f t="shared" si="54"/>
        <v>1232.7515484931509</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K128" s="236" t="s">
        <v>4516</v>
      </c>
      <c r="Q128" s="167"/>
      <c r="R128" s="210" t="s">
        <v>5855</v>
      </c>
      <c r="S128" s="210">
        <f>S127-3</f>
        <v>35</v>
      </c>
      <c r="T128" s="210" t="s">
        <v>5893</v>
      </c>
      <c r="U128" s="210">
        <v>1114</v>
      </c>
      <c r="V128" s="97">
        <f t="shared" si="42"/>
        <v>1160.8429369863015</v>
      </c>
      <c r="W128" s="32">
        <f t="shared" si="53"/>
        <v>1184.0597957260277</v>
      </c>
      <c r="X128" s="32">
        <f t="shared" si="54"/>
        <v>1207.2766544657536</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G129" s="210" t="s">
        <v>25</v>
      </c>
      <c r="H129" s="210" t="s">
        <v>5586</v>
      </c>
      <c r="I129" s="213" t="s">
        <v>5500</v>
      </c>
      <c r="J129" s="1">
        <v>50000000</v>
      </c>
      <c r="K129" s="236" t="s">
        <v>4517</v>
      </c>
      <c r="P129" t="s">
        <v>25</v>
      </c>
      <c r="Q129" s="167"/>
      <c r="R129" s="210" t="s">
        <v>5865</v>
      </c>
      <c r="S129" s="210">
        <f>S128-9</f>
        <v>26</v>
      </c>
      <c r="T129" s="210" t="s">
        <v>5914</v>
      </c>
      <c r="U129" s="210">
        <v>1275</v>
      </c>
      <c r="V129" s="97">
        <f t="shared" si="42"/>
        <v>1319.8101369863014</v>
      </c>
      <c r="W129" s="32">
        <f t="shared" si="53"/>
        <v>1346.2063397260274</v>
      </c>
      <c r="X129" s="32">
        <f t="shared" si="54"/>
        <v>1372.6025424657535</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G130" s="210">
        <f>P46</f>
        <v>20500</v>
      </c>
      <c r="H130" s="210" t="s">
        <v>4361</v>
      </c>
      <c r="I130" s="210">
        <v>4386</v>
      </c>
      <c r="J130" s="111">
        <f>G130*I130</f>
        <v>89913000</v>
      </c>
      <c r="Q130" s="167"/>
      <c r="R130" s="210" t="s">
        <v>5908</v>
      </c>
      <c r="S130" s="210">
        <f>S129-9</f>
        <v>17</v>
      </c>
      <c r="T130" s="210" t="s">
        <v>5910</v>
      </c>
      <c r="U130" s="210">
        <v>1179.0999999999999</v>
      </c>
      <c r="V130" s="97">
        <f t="shared" si="42"/>
        <v>1212.3990761643836</v>
      </c>
      <c r="W130" s="32">
        <f t="shared" si="53"/>
        <v>1236.6470576876713</v>
      </c>
      <c r="X130" s="32">
        <f t="shared" si="54"/>
        <v>1260.8950392109589</v>
      </c>
      <c r="Y130" s="94">
        <v>181152</v>
      </c>
      <c r="Z130" s="94"/>
      <c r="AA130" s="94"/>
      <c r="AH130" s="97">
        <v>110</v>
      </c>
      <c r="AI130" s="111" t="s">
        <v>4593</v>
      </c>
      <c r="AJ130" s="111">
        <v>60000</v>
      </c>
      <c r="AK130" s="97">
        <v>1</v>
      </c>
      <c r="AL130" s="97">
        <f t="shared" si="58"/>
        <v>715</v>
      </c>
      <c r="AM130" s="115">
        <f t="shared" si="57"/>
        <v>42900000</v>
      </c>
      <c r="AN130" s="97" t="s">
        <v>4594</v>
      </c>
    </row>
    <row r="131" spans="7:43">
      <c r="G131" s="210">
        <v>1</v>
      </c>
      <c r="H131" s="210" t="s">
        <v>5498</v>
      </c>
      <c r="I131" s="210">
        <v>654098</v>
      </c>
      <c r="J131" s="111">
        <f>G131*I131</f>
        <v>654098</v>
      </c>
      <c r="Q131" s="167"/>
      <c r="R131" s="210" t="s">
        <v>5911</v>
      </c>
      <c r="S131" s="210">
        <f>S130-11</f>
        <v>6</v>
      </c>
      <c r="T131" s="210" t="s">
        <v>5940</v>
      </c>
      <c r="U131" s="210">
        <v>410</v>
      </c>
      <c r="V131" s="97">
        <f t="shared" si="42"/>
        <v>418.11912328767124</v>
      </c>
      <c r="W131" s="32">
        <f t="shared" si="53"/>
        <v>426.4815057534247</v>
      </c>
      <c r="X131" s="32">
        <f t="shared" si="54"/>
        <v>434.8438882191781</v>
      </c>
      <c r="Y131" s="94"/>
      <c r="Z131" s="94"/>
      <c r="AA131" s="94"/>
      <c r="AH131" s="20">
        <v>111</v>
      </c>
      <c r="AI131" s="115" t="s">
        <v>4602</v>
      </c>
      <c r="AJ131" s="115">
        <v>4750000</v>
      </c>
      <c r="AK131" s="20">
        <v>0</v>
      </c>
      <c r="AL131" s="97">
        <f t="shared" si="58"/>
        <v>714</v>
      </c>
      <c r="AM131" s="115">
        <f t="shared" si="57"/>
        <v>3391500000</v>
      </c>
      <c r="AN131" s="20"/>
      <c r="AQ131" t="s">
        <v>25</v>
      </c>
    </row>
    <row r="132" spans="7:43">
      <c r="G132" s="210"/>
      <c r="H132" s="210"/>
      <c r="I132" s="210"/>
      <c r="J132" s="111"/>
      <c r="Q132" s="167"/>
      <c r="R132" s="210" t="s">
        <v>5918</v>
      </c>
      <c r="S132" s="210">
        <f>S131-2</f>
        <v>4</v>
      </c>
      <c r="T132" s="210" t="s">
        <v>5919</v>
      </c>
      <c r="U132" s="210">
        <v>1419.5</v>
      </c>
      <c r="V132" s="97">
        <f t="shared" si="42"/>
        <v>1445.4321260273975</v>
      </c>
      <c r="W132" s="32">
        <f t="shared" si="53"/>
        <v>1474.3407685479456</v>
      </c>
      <c r="X132" s="32">
        <f t="shared" si="54"/>
        <v>1503.2494110684936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G133" s="210"/>
      <c r="H133" s="210" t="s">
        <v>938</v>
      </c>
      <c r="I133" s="186">
        <f>J130+J131-J129</f>
        <v>40567098</v>
      </c>
      <c r="J133" s="210"/>
      <c r="Q133" s="167"/>
      <c r="R133" s="210" t="s">
        <v>5918</v>
      </c>
      <c r="S133" s="210">
        <f>S132</f>
        <v>4</v>
      </c>
      <c r="T133" s="210" t="s">
        <v>5920</v>
      </c>
      <c r="U133" s="210">
        <v>2.1</v>
      </c>
      <c r="V133" s="97">
        <f t="shared" si="42"/>
        <v>2.1383638356164387</v>
      </c>
      <c r="W133" s="32">
        <f t="shared" si="53"/>
        <v>2.1811311123287673</v>
      </c>
      <c r="X133" s="32">
        <f t="shared" si="54"/>
        <v>2.2238983890410964</v>
      </c>
      <c r="Y133" s="94"/>
      <c r="Z133" s="94"/>
      <c r="AA133" s="94"/>
      <c r="AH133" s="20">
        <v>113</v>
      </c>
      <c r="AI133" s="115" t="s">
        <v>4604</v>
      </c>
      <c r="AJ133" s="115">
        <v>-980000</v>
      </c>
      <c r="AK133" s="20">
        <v>0</v>
      </c>
      <c r="AL133" s="97">
        <f t="shared" si="58"/>
        <v>713</v>
      </c>
      <c r="AM133" s="115">
        <f t="shared" si="57"/>
        <v>-698740000</v>
      </c>
      <c r="AN133" s="20"/>
    </row>
    <row r="134" spans="7:43">
      <c r="K134" t="s">
        <v>25</v>
      </c>
      <c r="Q134" s="167"/>
      <c r="R134" s="210" t="s">
        <v>5933</v>
      </c>
      <c r="S134" s="210">
        <f>S133-4</f>
        <v>0</v>
      </c>
      <c r="T134" s="210" t="s">
        <v>5935</v>
      </c>
      <c r="U134" s="210">
        <v>490</v>
      </c>
      <c r="V134" s="97">
        <f t="shared" si="42"/>
        <v>497.44800000000004</v>
      </c>
      <c r="W134" s="32">
        <f t="shared" si="53"/>
        <v>507.39696000000004</v>
      </c>
      <c r="X134" s="32">
        <f t="shared" si="54"/>
        <v>517.34592000000009</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K135" t="s">
        <v>25</v>
      </c>
      <c r="Q135" s="167"/>
      <c r="R135" s="210" t="s">
        <v>5936</v>
      </c>
      <c r="S135" s="210">
        <f>S134-1</f>
        <v>-1</v>
      </c>
      <c r="T135" s="210" t="s">
        <v>5938</v>
      </c>
      <c r="U135" s="210">
        <v>15145</v>
      </c>
      <c r="V135" s="97">
        <f t="shared" si="42"/>
        <v>15363.585917808223</v>
      </c>
      <c r="W135" s="32">
        <f t="shared" si="53"/>
        <v>15670.857636164388</v>
      </c>
      <c r="X135" s="32">
        <f t="shared" si="54"/>
        <v>15978.129354520552</v>
      </c>
      <c r="Y135" s="94"/>
      <c r="Z135" s="94"/>
      <c r="AA135" s="94">
        <v>189</v>
      </c>
      <c r="AH135" s="20">
        <v>115</v>
      </c>
      <c r="AI135" s="115" t="s">
        <v>4604</v>
      </c>
      <c r="AJ135" s="115">
        <v>404000</v>
      </c>
      <c r="AK135" s="20">
        <v>5</v>
      </c>
      <c r="AL135" s="97">
        <f t="shared" si="58"/>
        <v>713</v>
      </c>
      <c r="AM135" s="115">
        <f t="shared" si="57"/>
        <v>288052000</v>
      </c>
      <c r="AN135" s="20" t="s">
        <v>4611</v>
      </c>
    </row>
    <row r="136" spans="7:43">
      <c r="G136" s="210"/>
      <c r="H136" s="210" t="s">
        <v>5585</v>
      </c>
      <c r="I136" s="213" t="s">
        <v>5734</v>
      </c>
      <c r="J136" s="1">
        <v>79922415</v>
      </c>
      <c r="K136" t="s">
        <v>25</v>
      </c>
      <c r="P136" t="s">
        <v>25</v>
      </c>
      <c r="Q136" s="167"/>
      <c r="R136" s="210" t="s">
        <v>5939</v>
      </c>
      <c r="S136" s="210">
        <f>S135-1</f>
        <v>-2</v>
      </c>
      <c r="T136" s="210" t="s">
        <v>5941</v>
      </c>
      <c r="U136" s="210">
        <v>1359</v>
      </c>
      <c r="V136" s="97">
        <f t="shared" si="42"/>
        <v>1377.5717589041096</v>
      </c>
      <c r="W136" s="32">
        <f t="shared" si="53"/>
        <v>1405.123194082192</v>
      </c>
      <c r="X136" s="32">
        <f t="shared" si="54"/>
        <v>1432.6746292602741</v>
      </c>
      <c r="Y136" s="94"/>
      <c r="Z136" s="94">
        <v>2935</v>
      </c>
      <c r="AA136" s="94"/>
      <c r="AH136" s="87">
        <v>116</v>
      </c>
      <c r="AI136" s="88" t="s">
        <v>4621</v>
      </c>
      <c r="AJ136" s="88">
        <v>4291628</v>
      </c>
      <c r="AK136" s="87">
        <v>2</v>
      </c>
      <c r="AL136" s="87">
        <f t="shared" si="58"/>
        <v>708</v>
      </c>
      <c r="AM136" s="88">
        <f t="shared" si="57"/>
        <v>3038472624</v>
      </c>
      <c r="AN136" s="87" t="s">
        <v>4622</v>
      </c>
    </row>
    <row r="137" spans="7:43">
      <c r="G137" s="210" t="s">
        <v>926</v>
      </c>
      <c r="H137" s="210" t="s">
        <v>4488</v>
      </c>
      <c r="I137" s="210" t="s">
        <v>922</v>
      </c>
      <c r="J137" s="210" t="s">
        <v>4686</v>
      </c>
      <c r="O137" s="94"/>
      <c r="Q137" s="167"/>
      <c r="R137" s="210"/>
      <c r="S137" s="210"/>
      <c r="T137" s="210"/>
      <c r="U137" s="210"/>
      <c r="V137" s="97"/>
      <c r="W137" s="32"/>
      <c r="X137" s="32"/>
      <c r="Y137" s="94"/>
      <c r="Z137" s="94"/>
      <c r="AA137" s="94"/>
      <c r="AC137" t="s">
        <v>25</v>
      </c>
      <c r="AH137" s="20">
        <v>117</v>
      </c>
      <c r="AI137" s="115" t="s">
        <v>4624</v>
      </c>
      <c r="AJ137" s="115">
        <v>1000</v>
      </c>
      <c r="AK137" s="20">
        <v>5</v>
      </c>
      <c r="AL137" s="20">
        <f t="shared" si="58"/>
        <v>706</v>
      </c>
      <c r="AM137" s="115">
        <f t="shared" si="57"/>
        <v>706000</v>
      </c>
      <c r="AN137" s="20"/>
    </row>
    <row r="138" spans="7:43">
      <c r="G138" s="1">
        <f>P47</f>
        <v>1066</v>
      </c>
      <c r="H138" s="210" t="s">
        <v>4219</v>
      </c>
      <c r="I138" s="210">
        <v>241029</v>
      </c>
      <c r="J138" s="1">
        <f>I138*G138</f>
        <v>256936914</v>
      </c>
      <c r="Q138" s="167"/>
      <c r="R138" s="210"/>
      <c r="S138" s="210"/>
      <c r="T138" s="210"/>
      <c r="U138" s="210"/>
      <c r="V138" s="97"/>
      <c r="W138" s="32"/>
      <c r="X138" s="32"/>
      <c r="Y138" s="94"/>
      <c r="Z138" s="94"/>
      <c r="AA138" s="94"/>
      <c r="AH138" s="119">
        <v>118</v>
      </c>
      <c r="AI138" s="77" t="s">
        <v>4632</v>
      </c>
      <c r="AJ138" s="77">
        <v>8739459</v>
      </c>
      <c r="AK138" s="119">
        <v>2</v>
      </c>
      <c r="AL138" s="119">
        <f t="shared" si="58"/>
        <v>701</v>
      </c>
      <c r="AM138" s="77">
        <f t="shared" si="57"/>
        <v>6126360759</v>
      </c>
      <c r="AN138" s="119" t="s">
        <v>4592</v>
      </c>
    </row>
    <row r="139" spans="7:43">
      <c r="G139" s="1">
        <f>P46</f>
        <v>20500</v>
      </c>
      <c r="H139" s="210" t="s">
        <v>4361</v>
      </c>
      <c r="I139" s="210">
        <v>2535</v>
      </c>
      <c r="J139" s="1">
        <f>I139*G139</f>
        <v>51967500</v>
      </c>
      <c r="K139" t="s">
        <v>25</v>
      </c>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1"/>
      <c r="H140" s="210" t="s">
        <v>25</v>
      </c>
      <c r="I140" s="210"/>
      <c r="J140" s="1"/>
      <c r="P140" t="s">
        <v>25</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210"/>
      <c r="H141" s="210"/>
      <c r="I141" s="186">
        <f>J141-J136</f>
        <v>228981999</v>
      </c>
      <c r="J141" s="1">
        <f>SUM(J138:J140)</f>
        <v>308904414</v>
      </c>
      <c r="Q141" s="167"/>
      <c r="R141" s="166"/>
      <c r="S141" s="166"/>
      <c r="T141" s="166" t="s">
        <v>25</v>
      </c>
      <c r="U141" s="166"/>
      <c r="V141" s="97">
        <f>U141*(1+$R$102+$Q$15*S141/36500)</f>
        <v>0</v>
      </c>
      <c r="W141" s="32">
        <f t="shared" si="53"/>
        <v>0</v>
      </c>
      <c r="X141" s="32">
        <f t="shared" si="54"/>
        <v>0</v>
      </c>
      <c r="Z141" t="s">
        <v>25</v>
      </c>
      <c r="AA141" s="94"/>
      <c r="AH141" s="159">
        <v>121</v>
      </c>
      <c r="AI141" s="224" t="s">
        <v>4685</v>
      </c>
      <c r="AJ141" s="224">
        <v>50000000</v>
      </c>
      <c r="AK141" s="159">
        <v>11</v>
      </c>
      <c r="AL141" s="159">
        <f t="shared" si="58"/>
        <v>685</v>
      </c>
      <c r="AM141" s="224">
        <f t="shared" si="57"/>
        <v>34250000000</v>
      </c>
      <c r="AN141" s="159" t="s">
        <v>4687</v>
      </c>
      <c r="AP141" t="s">
        <v>25</v>
      </c>
    </row>
    <row r="142" spans="7:43">
      <c r="G142" s="210"/>
      <c r="H142" s="210"/>
      <c r="I142" s="210" t="s">
        <v>902</v>
      </c>
      <c r="J142" s="210" t="s">
        <v>6</v>
      </c>
      <c r="K142" s="94"/>
      <c r="L142" s="94"/>
      <c r="M142" t="s">
        <v>25</v>
      </c>
      <c r="Q142" s="111">
        <f>SUM(N42:N51)-SUM(Q106:Q141)</f>
        <v>3077704099.36867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K143" s="94"/>
      <c r="Q143" s="26"/>
      <c r="R143" s="179"/>
      <c r="S143" s="179"/>
      <c r="T143" t="s">
        <v>25</v>
      </c>
      <c r="U143" s="94" t="s">
        <v>25</v>
      </c>
      <c r="V143" s="94" t="s">
        <v>25</v>
      </c>
      <c r="W143" s="94" t="s">
        <v>25</v>
      </c>
      <c r="Y143" t="s">
        <v>25</v>
      </c>
      <c r="Z143" t="s">
        <v>25</v>
      </c>
      <c r="AA143" s="94" t="s">
        <v>25</v>
      </c>
      <c r="AB143" t="s">
        <v>25</v>
      </c>
      <c r="AH143" s="20">
        <v>123</v>
      </c>
      <c r="AI143" s="115" t="s">
        <v>4745</v>
      </c>
      <c r="AJ143" s="115">
        <v>600000</v>
      </c>
      <c r="AK143" s="20">
        <v>1</v>
      </c>
      <c r="AL143" s="20">
        <f t="shared" si="58"/>
        <v>671</v>
      </c>
      <c r="AM143" s="115">
        <f t="shared" si="57"/>
        <v>402600000</v>
      </c>
      <c r="AN143" s="20"/>
    </row>
    <row r="144" spans="7:43">
      <c r="G144" s="210"/>
      <c r="H144" s="210" t="s">
        <v>5584</v>
      </c>
      <c r="I144" s="213" t="s">
        <v>5504</v>
      </c>
      <c r="J144" s="1">
        <v>36319143</v>
      </c>
      <c r="K144" s="94"/>
      <c r="L144" s="94"/>
      <c r="P144" s="112"/>
      <c r="R144" s="32" t="s">
        <v>4519</v>
      </c>
      <c r="S144" s="32" t="s">
        <v>935</v>
      </c>
      <c r="T144" t="s">
        <v>25</v>
      </c>
      <c r="U144" s="94" t="s">
        <v>25</v>
      </c>
      <c r="V144" s="94" t="s">
        <v>25</v>
      </c>
      <c r="W144" s="94" t="s">
        <v>25</v>
      </c>
      <c r="X144" s="120" t="s">
        <v>25</v>
      </c>
      <c r="Y144" t="s">
        <v>25</v>
      </c>
      <c r="Z144" t="s">
        <v>25</v>
      </c>
      <c r="AH144" s="20">
        <v>124</v>
      </c>
      <c r="AI144" s="115" t="s">
        <v>4748</v>
      </c>
      <c r="AJ144" s="115">
        <v>30000</v>
      </c>
      <c r="AK144" s="20">
        <v>3</v>
      </c>
      <c r="AL144" s="20">
        <f t="shared" si="58"/>
        <v>670</v>
      </c>
      <c r="AM144" s="115">
        <f t="shared" si="57"/>
        <v>20100000</v>
      </c>
      <c r="AN144" s="20"/>
    </row>
    <row r="145" spans="5:44">
      <c r="G145" s="1">
        <f>P47</f>
        <v>1066</v>
      </c>
      <c r="H145" s="210" t="s">
        <v>4219</v>
      </c>
      <c r="I145" s="210">
        <v>68595</v>
      </c>
      <c r="J145" s="1">
        <f>G145*I145</f>
        <v>73122270</v>
      </c>
      <c r="K145" s="94"/>
      <c r="L145" s="94"/>
      <c r="M145" s="94"/>
      <c r="N145" s="94"/>
      <c r="O145" s="94"/>
      <c r="R145" s="32">
        <v>183003</v>
      </c>
      <c r="S145" s="167">
        <v>152128600.70081395</v>
      </c>
      <c r="T145" t="s">
        <v>25</v>
      </c>
      <c r="U145" s="94" t="s">
        <v>25</v>
      </c>
      <c r="V145" s="120" t="s">
        <v>25</v>
      </c>
      <c r="W145" s="94" t="s">
        <v>25</v>
      </c>
      <c r="X145" t="s">
        <v>25</v>
      </c>
      <c r="Y145" t="s">
        <v>25</v>
      </c>
      <c r="Z145" t="s">
        <v>25</v>
      </c>
      <c r="AA145" t="s">
        <v>25</v>
      </c>
      <c r="AH145" s="20">
        <v>125</v>
      </c>
      <c r="AI145" s="115" t="s">
        <v>4754</v>
      </c>
      <c r="AJ145" s="115">
        <v>2250000</v>
      </c>
      <c r="AK145" s="20">
        <v>1</v>
      </c>
      <c r="AL145" s="20">
        <f t="shared" si="58"/>
        <v>667</v>
      </c>
      <c r="AM145" s="115">
        <f>AJ145*AL145</f>
        <v>1500750000</v>
      </c>
      <c r="AN145" s="20"/>
      <c r="AR145" t="s">
        <v>25</v>
      </c>
    </row>
    <row r="146" spans="5:44">
      <c r="G146" s="210">
        <f>P46</f>
        <v>20500</v>
      </c>
      <c r="H146" s="210" t="s">
        <v>4361</v>
      </c>
      <c r="I146" s="210">
        <v>1703</v>
      </c>
      <c r="J146" s="1">
        <f>G146*I146</f>
        <v>34911500</v>
      </c>
      <c r="K146" s="94"/>
      <c r="L146" s="94"/>
      <c r="M146" s="94"/>
      <c r="N146" s="94"/>
      <c r="O146" s="94"/>
      <c r="Q146" t="s">
        <v>25</v>
      </c>
      <c r="R146" s="32">
        <v>1851</v>
      </c>
      <c r="S146" s="1">
        <f>S145*R146/R145</f>
        <v>1538718.1625285193</v>
      </c>
      <c r="T146" s="112" t="s">
        <v>25</v>
      </c>
      <c r="U146" s="94" t="s">
        <v>25</v>
      </c>
      <c r="V146" s="120" t="s">
        <v>25</v>
      </c>
      <c r="W146" s="94" t="s">
        <v>25</v>
      </c>
      <c r="X146" t="s">
        <v>25</v>
      </c>
      <c r="Y146" t="s">
        <v>25</v>
      </c>
      <c r="Z146" t="s">
        <v>25</v>
      </c>
      <c r="AH146" s="23">
        <v>126</v>
      </c>
      <c r="AI146" s="35" t="s">
        <v>4759</v>
      </c>
      <c r="AJ146" s="35">
        <v>-31412200</v>
      </c>
      <c r="AK146" s="23">
        <v>1</v>
      </c>
      <c r="AL146" s="20">
        <f t="shared" si="58"/>
        <v>666</v>
      </c>
      <c r="AM146" s="35">
        <f>AJ146*AL146</f>
        <v>-20920525200</v>
      </c>
      <c r="AN146" s="23" t="s">
        <v>4747</v>
      </c>
    </row>
    <row r="147" spans="5:44">
      <c r="G147" s="210"/>
      <c r="H147" s="210"/>
      <c r="I147" s="186">
        <f>J147-J144</f>
        <v>71714627</v>
      </c>
      <c r="J147" s="1">
        <f>SUM(J145:J146)</f>
        <v>108033770</v>
      </c>
      <c r="K147" s="94"/>
      <c r="L147" s="94" t="s">
        <v>25</v>
      </c>
      <c r="M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4768</v>
      </c>
      <c r="AJ147" s="115">
        <v>70000</v>
      </c>
      <c r="AK147" s="20">
        <v>9</v>
      </c>
      <c r="AL147" s="20">
        <f t="shared" si="58"/>
        <v>665</v>
      </c>
      <c r="AM147" s="115">
        <f>AJ147*AL147</f>
        <v>46550000</v>
      </c>
      <c r="AN147" s="20"/>
    </row>
    <row r="148" spans="5:44">
      <c r="G148" s="210"/>
      <c r="H148" s="210"/>
      <c r="I148" s="210" t="s">
        <v>902</v>
      </c>
      <c r="J148" s="210" t="s">
        <v>6</v>
      </c>
      <c r="L148" s="94"/>
      <c r="M148" s="94"/>
      <c r="N148" s="94"/>
      <c r="O148" s="94"/>
      <c r="T148" t="s">
        <v>25</v>
      </c>
      <c r="V148" s="94"/>
      <c r="W148"/>
      <c r="X148" t="s">
        <v>25</v>
      </c>
      <c r="Y148" t="s">
        <v>25</v>
      </c>
      <c r="Z148" t="s">
        <v>25</v>
      </c>
      <c r="AA148" t="s">
        <v>25</v>
      </c>
      <c r="AB148" s="94"/>
      <c r="AH148" s="97">
        <v>128</v>
      </c>
      <c r="AI148" s="111" t="s">
        <v>4775</v>
      </c>
      <c r="AJ148" s="111">
        <v>20000</v>
      </c>
      <c r="AK148" s="97">
        <v>10</v>
      </c>
      <c r="AL148" s="20">
        <f t="shared" si="58"/>
        <v>656</v>
      </c>
      <c r="AM148" s="115">
        <f>AJ148*AL148</f>
        <v>13120000</v>
      </c>
      <c r="AN148" s="20"/>
      <c r="AP148" t="s">
        <v>25</v>
      </c>
    </row>
    <row r="149" spans="5:44">
      <c r="G149" s="41"/>
      <c r="H149" s="41"/>
      <c r="I149" s="41"/>
      <c r="J149" s="41"/>
      <c r="K149" s="94"/>
      <c r="L149" s="94"/>
      <c r="N149" s="94"/>
      <c r="O149" s="94"/>
      <c r="Q149" s="94" t="s">
        <v>25</v>
      </c>
      <c r="R149" s="94"/>
      <c r="S149" s="94"/>
      <c r="T149" s="94"/>
      <c r="U149" s="310" t="s">
        <v>4408</v>
      </c>
      <c r="V149" s="310" t="s">
        <v>4421</v>
      </c>
      <c r="W149" s="310" t="s">
        <v>4422</v>
      </c>
      <c r="X149" t="s">
        <v>25</v>
      </c>
      <c r="Y149" t="s">
        <v>25</v>
      </c>
      <c r="AA149" t="s">
        <v>25</v>
      </c>
      <c r="AB149" s="94"/>
      <c r="AH149" s="97">
        <v>129</v>
      </c>
      <c r="AI149" s="111" t="s">
        <v>4795</v>
      </c>
      <c r="AJ149" s="111">
        <v>1000000</v>
      </c>
      <c r="AK149" s="97">
        <v>1</v>
      </c>
      <c r="AL149" s="20">
        <f t="shared" si="58"/>
        <v>646</v>
      </c>
      <c r="AM149" s="115">
        <f>AJ149*AL149</f>
        <v>646000000</v>
      </c>
      <c r="AN149" s="20"/>
    </row>
    <row r="150" spans="5:44">
      <c r="E150" s="121"/>
      <c r="N150" s="94"/>
      <c r="O150" s="94"/>
      <c r="P150" s="112"/>
      <c r="Q150" s="94"/>
      <c r="R150" s="94"/>
      <c r="S150" s="94" t="s">
        <v>25</v>
      </c>
      <c r="T150" s="120">
        <f>V151-V156</f>
        <v>2585003</v>
      </c>
      <c r="U150" s="310" t="s">
        <v>744</v>
      </c>
      <c r="V150" s="310">
        <v>1473953</v>
      </c>
      <c r="W150" s="88">
        <f>V150*$T$479</f>
        <v>2816583491.7512679</v>
      </c>
      <c r="Y150" t="s">
        <v>25</v>
      </c>
      <c r="Z150" t="s">
        <v>25</v>
      </c>
      <c r="AA150" t="s">
        <v>25</v>
      </c>
      <c r="AC150" s="112"/>
      <c r="AD150" s="112"/>
      <c r="AH150" s="97">
        <v>130</v>
      </c>
      <c r="AI150" s="111" t="s">
        <v>4796</v>
      </c>
      <c r="AJ150" s="111">
        <v>65630227</v>
      </c>
      <c r="AK150" s="97">
        <v>0</v>
      </c>
      <c r="AL150" s="20">
        <f t="shared" si="58"/>
        <v>645</v>
      </c>
      <c r="AM150" s="115">
        <f t="shared" ref="AM150:AM177" si="59">AJ150*AL150</f>
        <v>42331496415</v>
      </c>
      <c r="AN150" s="20" t="s">
        <v>4799</v>
      </c>
      <c r="AP150" t="s">
        <v>25</v>
      </c>
      <c r="AR150" t="s">
        <v>25</v>
      </c>
    </row>
    <row r="151" spans="5:44">
      <c r="T151" s="120"/>
      <c r="U151" s="310" t="s">
        <v>4410</v>
      </c>
      <c r="V151" s="310">
        <v>2585003</v>
      </c>
      <c r="W151" s="88">
        <f>V151*$T$479</f>
        <v>4939693990.1933794</v>
      </c>
      <c r="X151" s="94" t="s">
        <v>25</v>
      </c>
      <c r="Y151" t="s">
        <v>25</v>
      </c>
      <c r="Z151" t="s">
        <v>25</v>
      </c>
      <c r="AA151" t="s">
        <v>25</v>
      </c>
      <c r="AC151" s="112"/>
      <c r="AH151" s="97">
        <v>131</v>
      </c>
      <c r="AI151" s="111" t="s">
        <v>4796</v>
      </c>
      <c r="AJ151" s="111">
        <v>-3500000</v>
      </c>
      <c r="AK151" s="97">
        <v>6</v>
      </c>
      <c r="AL151" s="20">
        <f t="shared" si="58"/>
        <v>645</v>
      </c>
      <c r="AM151" s="115">
        <f t="shared" si="59"/>
        <v>-2257500000</v>
      </c>
      <c r="AN151" s="20" t="s">
        <v>4798</v>
      </c>
    </row>
    <row r="152" spans="5:44">
      <c r="G152" s="210"/>
      <c r="H152" s="210" t="s">
        <v>5586</v>
      </c>
      <c r="I152" s="213" t="s">
        <v>5735</v>
      </c>
      <c r="J152" s="1">
        <v>150000000</v>
      </c>
      <c r="P152" s="112"/>
      <c r="Q152" t="s">
        <v>25</v>
      </c>
      <c r="T152" s="94">
        <f>V150-V156</f>
        <v>1473953</v>
      </c>
      <c r="U152" s="310" t="s">
        <v>4409</v>
      </c>
      <c r="V152" s="310">
        <v>51866</v>
      </c>
      <c r="W152" s="88">
        <f>V152*$T$479</f>
        <v>99110975.30462046</v>
      </c>
      <c r="X152" s="214"/>
      <c r="Y152" t="s">
        <v>25</v>
      </c>
      <c r="Z152" t="s">
        <v>25</v>
      </c>
      <c r="AC152" s="112"/>
      <c r="AD152" s="112"/>
      <c r="AH152" s="97">
        <v>132</v>
      </c>
      <c r="AI152" s="111" t="s">
        <v>4808</v>
      </c>
      <c r="AJ152" s="111">
        <v>2520000</v>
      </c>
      <c r="AK152" s="97">
        <v>12</v>
      </c>
      <c r="AL152" s="20">
        <f t="shared" si="58"/>
        <v>639</v>
      </c>
      <c r="AM152" s="115">
        <f t="shared" si="59"/>
        <v>1610280000</v>
      </c>
      <c r="AN152" s="20"/>
    </row>
    <row r="153" spans="5:44">
      <c r="G153" s="1">
        <f>P47</f>
        <v>1066</v>
      </c>
      <c r="H153" s="210" t="s">
        <v>4219</v>
      </c>
      <c r="I153" s="210">
        <v>309254</v>
      </c>
      <c r="J153" s="1">
        <f>G153*I153</f>
        <v>329664764</v>
      </c>
      <c r="P153" s="94"/>
      <c r="Q153" t="s">
        <v>25</v>
      </c>
      <c r="T153" s="94"/>
      <c r="U153" s="310" t="s">
        <v>1071</v>
      </c>
      <c r="V153" s="310">
        <v>143206</v>
      </c>
      <c r="W153" s="88">
        <f>V153*$T$479</f>
        <v>273652996.75073224</v>
      </c>
      <c r="X153" s="113"/>
      <c r="Z153" t="s">
        <v>25</v>
      </c>
      <c r="AH153" s="97">
        <v>133</v>
      </c>
      <c r="AI153" s="111" t="s">
        <v>4843</v>
      </c>
      <c r="AJ153" s="111">
        <v>1400000</v>
      </c>
      <c r="AK153" s="97">
        <v>4</v>
      </c>
      <c r="AL153" s="20">
        <f t="shared" si="58"/>
        <v>627</v>
      </c>
      <c r="AM153" s="115">
        <f t="shared" si="59"/>
        <v>877800000</v>
      </c>
      <c r="AN153" s="20"/>
    </row>
    <row r="154" spans="5:44">
      <c r="G154" s="1">
        <f>G153</f>
        <v>1066</v>
      </c>
      <c r="H154" s="210" t="s">
        <v>5925</v>
      </c>
      <c r="I154" s="210">
        <v>0</v>
      </c>
      <c r="J154" s="1">
        <f>G154*I154</f>
        <v>0</v>
      </c>
      <c r="T154" s="94"/>
      <c r="U154" s="310"/>
      <c r="V154" s="310"/>
      <c r="W154" s="310"/>
      <c r="X154" s="113"/>
      <c r="Y154" t="s">
        <v>25</v>
      </c>
      <c r="AH154" s="97">
        <v>134</v>
      </c>
      <c r="AI154" s="111" t="s">
        <v>4864</v>
      </c>
      <c r="AJ154" s="111">
        <v>1550000</v>
      </c>
      <c r="AK154" s="97">
        <v>2</v>
      </c>
      <c r="AL154" s="20">
        <f t="shared" si="58"/>
        <v>623</v>
      </c>
      <c r="AM154" s="115">
        <f t="shared" si="59"/>
        <v>965650000</v>
      </c>
      <c r="AN154" s="20"/>
    </row>
    <row r="155" spans="5:44">
      <c r="G155" s="210"/>
      <c r="H155" s="210"/>
      <c r="I155" s="210"/>
      <c r="J155" s="1"/>
      <c r="Q155" t="s">
        <v>25</v>
      </c>
      <c r="S155" t="s">
        <v>25</v>
      </c>
      <c r="T155" s="94" t="s">
        <v>25</v>
      </c>
      <c r="U155" s="87"/>
      <c r="V155" s="87">
        <f>SUM(V150:V153)</f>
        <v>4254028</v>
      </c>
      <c r="W155" s="87"/>
      <c r="X155" s="112" t="s">
        <v>25</v>
      </c>
      <c r="Y155" t="s">
        <v>25</v>
      </c>
      <c r="Z155" t="s">
        <v>25</v>
      </c>
      <c r="AH155" s="97">
        <v>135</v>
      </c>
      <c r="AI155" s="111" t="s">
        <v>4815</v>
      </c>
      <c r="AJ155" s="111">
        <v>250000</v>
      </c>
      <c r="AK155" s="97">
        <v>6</v>
      </c>
      <c r="AL155" s="20">
        <f t="shared" si="58"/>
        <v>621</v>
      </c>
      <c r="AM155" s="115">
        <f t="shared" si="59"/>
        <v>155250000</v>
      </c>
      <c r="AN155" s="20"/>
    </row>
    <row r="156" spans="5:44">
      <c r="G156" s="210"/>
      <c r="H156" s="111"/>
      <c r="I156" s="278">
        <f>J156-J152</f>
        <v>179664764</v>
      </c>
      <c r="J156" s="1">
        <f>SUM(J153:J154)</f>
        <v>329664764</v>
      </c>
      <c r="K156" t="s">
        <v>25</v>
      </c>
      <c r="Q156" s="94" t="s">
        <v>25</v>
      </c>
      <c r="R156" s="94"/>
      <c r="S156" s="94" t="s">
        <v>25</v>
      </c>
      <c r="T156" s="94" t="s">
        <v>25</v>
      </c>
      <c r="U156" s="87"/>
      <c r="V156" s="87">
        <f>V155-U476</f>
        <v>0</v>
      </c>
      <c r="W156" s="87"/>
      <c r="X156" s="94"/>
      <c r="Y156" t="s">
        <v>25</v>
      </c>
      <c r="Z156" t="s">
        <v>25</v>
      </c>
      <c r="AH156" s="97">
        <v>136</v>
      </c>
      <c r="AI156" s="111" t="s">
        <v>4873</v>
      </c>
      <c r="AJ156" s="111">
        <v>-48527480</v>
      </c>
      <c r="AK156" s="97">
        <v>14</v>
      </c>
      <c r="AL156" s="20">
        <f t="shared" si="58"/>
        <v>615</v>
      </c>
      <c r="AM156" s="115">
        <f t="shared" si="59"/>
        <v>-29844400200</v>
      </c>
      <c r="AN156" s="20" t="s">
        <v>4875</v>
      </c>
    </row>
    <row r="157" spans="5:44">
      <c r="G157" s="210"/>
      <c r="H157" s="210"/>
      <c r="I157" s="210" t="s">
        <v>5451</v>
      </c>
      <c r="J157" s="210" t="s">
        <v>6</v>
      </c>
      <c r="N157" s="94"/>
      <c r="O157" s="94" t="s">
        <v>25</v>
      </c>
      <c r="P157" s="112"/>
      <c r="Q157" s="94"/>
      <c r="R157" s="94"/>
      <c r="S157" s="94"/>
      <c r="T157" s="94" t="s">
        <v>25</v>
      </c>
      <c r="U157" s="87"/>
      <c r="V157" s="87" t="s">
        <v>5903</v>
      </c>
      <c r="W157" s="140">
        <f>R168-W153</f>
        <v>89996079.249267757</v>
      </c>
      <c r="X157" s="94"/>
      <c r="Y157" t="s">
        <v>25</v>
      </c>
      <c r="Z157" t="s">
        <v>25</v>
      </c>
      <c r="AH157" s="97">
        <v>137</v>
      </c>
      <c r="AI157" s="111" t="s">
        <v>4896</v>
      </c>
      <c r="AJ157" s="111">
        <v>2100000</v>
      </c>
      <c r="AK157" s="97">
        <v>1</v>
      </c>
      <c r="AL157" s="20">
        <f t="shared" si="58"/>
        <v>601</v>
      </c>
      <c r="AM157" s="115">
        <f t="shared" si="59"/>
        <v>1262100000</v>
      </c>
      <c r="AN157" s="20"/>
    </row>
    <row r="158" spans="5:44">
      <c r="J158" s="94">
        <f>I153+O42+I154</f>
        <v>356635</v>
      </c>
      <c r="K158">
        <f>J158-I154</f>
        <v>356635</v>
      </c>
      <c r="N158" s="94"/>
      <c r="O158" s="94"/>
      <c r="P158" s="112"/>
      <c r="Q158" s="94" t="s">
        <v>25</v>
      </c>
      <c r="R158" s="94"/>
      <c r="S158" s="94"/>
      <c r="T158" s="94" t="s">
        <v>25</v>
      </c>
      <c r="U158" s="87"/>
      <c r="V158" s="87" t="s">
        <v>5902</v>
      </c>
      <c r="W158" s="140">
        <f>W152-W157</f>
        <v>9114896.0553527027</v>
      </c>
      <c r="X158" s="94"/>
      <c r="Z158" t="s">
        <v>25</v>
      </c>
      <c r="AH158" s="97">
        <v>138</v>
      </c>
      <c r="AI158" s="111" t="s">
        <v>4899</v>
      </c>
      <c r="AJ158" s="111">
        <v>100000</v>
      </c>
      <c r="AK158" s="97">
        <v>4</v>
      </c>
      <c r="AL158" s="20">
        <f>AL159+AK158</f>
        <v>600</v>
      </c>
      <c r="AM158" s="115">
        <f t="shared" si="59"/>
        <v>60000000</v>
      </c>
      <c r="AN158" s="20"/>
    </row>
    <row r="159" spans="5:44">
      <c r="N159" s="94"/>
      <c r="O159" s="94"/>
      <c r="P159" s="112"/>
      <c r="Q159" s="94" t="s">
        <v>25</v>
      </c>
      <c r="R159" s="94"/>
      <c r="S159" s="94"/>
      <c r="T159" s="94"/>
      <c r="U159" s="87"/>
      <c r="V159" s="87" t="s">
        <v>4942</v>
      </c>
      <c r="W159" s="140">
        <f>W150+W158-R167</f>
        <v>17082055.806620598</v>
      </c>
      <c r="X159" s="94"/>
      <c r="Y159" t="s">
        <v>25</v>
      </c>
      <c r="AH159" s="97">
        <v>139</v>
      </c>
      <c r="AI159" s="111" t="s">
        <v>4904</v>
      </c>
      <c r="AJ159" s="111">
        <v>900000</v>
      </c>
      <c r="AK159" s="97">
        <v>0</v>
      </c>
      <c r="AL159" s="20">
        <f t="shared" ref="AL159:AL168" si="60">AL160+AK159</f>
        <v>596</v>
      </c>
      <c r="AM159" s="115">
        <f t="shared" ref="AM159:AM168" si="61">AJ159*AL159</f>
        <v>536400000</v>
      </c>
      <c r="AN159" s="20"/>
      <c r="AP159" t="s">
        <v>25</v>
      </c>
    </row>
    <row r="160" spans="5:44">
      <c r="L160" t="s">
        <v>25</v>
      </c>
      <c r="N160" s="94"/>
      <c r="O160" s="94"/>
      <c r="P160" s="112"/>
      <c r="Q160" s="94"/>
      <c r="R160" s="94"/>
      <c r="S160" s="94"/>
      <c r="T160" s="94"/>
      <c r="U160" s="87"/>
      <c r="V160" s="87"/>
      <c r="W160" s="140"/>
      <c r="X160" s="113"/>
      <c r="Y160" t="s">
        <v>25</v>
      </c>
      <c r="AH160" s="97">
        <v>140</v>
      </c>
      <c r="AI160" s="111" t="s">
        <v>4904</v>
      </c>
      <c r="AJ160" s="111">
        <v>1100000</v>
      </c>
      <c r="AK160" s="97">
        <v>0</v>
      </c>
      <c r="AL160" s="20">
        <f t="shared" si="60"/>
        <v>596</v>
      </c>
      <c r="AM160" s="115">
        <f t="shared" si="61"/>
        <v>655600000</v>
      </c>
      <c r="AN160" s="20" t="s">
        <v>4918</v>
      </c>
      <c r="AQ160" t="s">
        <v>25</v>
      </c>
    </row>
    <row r="161" spans="7:43">
      <c r="G161" s="97"/>
      <c r="H161" s="97"/>
      <c r="I161" s="97" t="s">
        <v>5672</v>
      </c>
      <c r="J161" s="1">
        <v>-1200000</v>
      </c>
      <c r="N161" s="94"/>
      <c r="O161" s="94"/>
      <c r="P161" s="112"/>
      <c r="Q161" s="94"/>
      <c r="R161" s="94"/>
      <c r="S161" s="94"/>
      <c r="T161" s="94"/>
      <c r="V161" s="94"/>
      <c r="Y161" t="s">
        <v>25</v>
      </c>
      <c r="AH161" s="97">
        <v>141</v>
      </c>
      <c r="AI161" s="111" t="s">
        <v>4904</v>
      </c>
      <c r="AJ161" s="111">
        <v>115000</v>
      </c>
      <c r="AK161" s="97"/>
      <c r="AL161" s="20">
        <f t="shared" si="60"/>
        <v>596</v>
      </c>
      <c r="AM161" s="115">
        <f t="shared" si="61"/>
        <v>68540000</v>
      </c>
      <c r="AN161" s="20"/>
      <c r="AQ161" t="s">
        <v>25</v>
      </c>
    </row>
    <row r="162" spans="7:43">
      <c r="G162" s="97">
        <f>P47</f>
        <v>1066</v>
      </c>
      <c r="H162" s="97" t="s">
        <v>4219</v>
      </c>
      <c r="I162" s="97">
        <v>19848</v>
      </c>
      <c r="J162" s="1">
        <f>G162*I162</f>
        <v>21157968</v>
      </c>
      <c r="N162" s="94"/>
      <c r="O162" s="94"/>
      <c r="P162" s="112"/>
      <c r="Q162" s="94"/>
      <c r="R162" s="94"/>
      <c r="S162" s="94"/>
      <c r="T162" s="94" t="s">
        <v>25</v>
      </c>
      <c r="V162" s="94"/>
      <c r="AH162" s="97">
        <v>142</v>
      </c>
      <c r="AI162" s="111" t="s">
        <v>4912</v>
      </c>
      <c r="AJ162" s="111">
        <v>-1100000</v>
      </c>
      <c r="AK162" s="97"/>
      <c r="AL162" s="20">
        <f t="shared" si="60"/>
        <v>596</v>
      </c>
      <c r="AM162" s="115">
        <f t="shared" si="61"/>
        <v>-655600000</v>
      </c>
      <c r="AN162" s="20" t="s">
        <v>4919</v>
      </c>
      <c r="AQ162" t="s">
        <v>25</v>
      </c>
    </row>
    <row r="163" spans="7:43">
      <c r="G163" s="97">
        <f>P46</f>
        <v>20500</v>
      </c>
      <c r="H163" s="97" t="s">
        <v>5968</v>
      </c>
      <c r="I163" s="97">
        <v>1150</v>
      </c>
      <c r="J163" s="1">
        <f>G163*I163</f>
        <v>23575000</v>
      </c>
      <c r="N163" s="94"/>
      <c r="O163" s="94"/>
      <c r="P163" s="112"/>
      <c r="S163" s="94"/>
      <c r="T163" s="94"/>
      <c r="V163" s="94"/>
      <c r="AH163" s="97">
        <v>143</v>
      </c>
      <c r="AI163" s="111" t="s">
        <v>4912</v>
      </c>
      <c r="AJ163" s="111">
        <v>900000</v>
      </c>
      <c r="AK163" s="97">
        <v>1</v>
      </c>
      <c r="AL163" s="20">
        <f t="shared" si="60"/>
        <v>596</v>
      </c>
      <c r="AM163" s="115">
        <f t="shared" si="61"/>
        <v>536400000</v>
      </c>
      <c r="AN163" s="20" t="s">
        <v>4918</v>
      </c>
    </row>
    <row r="164" spans="7:43">
      <c r="G164" s="97"/>
      <c r="H164" s="97"/>
      <c r="I164" s="97"/>
      <c r="J164" s="1"/>
      <c r="P164" s="112"/>
      <c r="Q164" s="94"/>
      <c r="R164" s="94"/>
      <c r="S164" s="94"/>
      <c r="T164" s="97" t="s">
        <v>180</v>
      </c>
      <c r="U164" s="97" t="s">
        <v>4436</v>
      </c>
      <c r="V164" s="97" t="s">
        <v>4437</v>
      </c>
      <c r="W164" s="97" t="s">
        <v>4447</v>
      </c>
      <c r="X164" s="97" t="s">
        <v>8</v>
      </c>
      <c r="Y164" t="s">
        <v>25</v>
      </c>
      <c r="AH164" s="97">
        <v>144</v>
      </c>
      <c r="AI164" s="111" t="s">
        <v>4916</v>
      </c>
      <c r="AJ164" s="111">
        <v>2000000</v>
      </c>
      <c r="AK164" s="97">
        <v>0</v>
      </c>
      <c r="AL164" s="20">
        <f t="shared" si="60"/>
        <v>595</v>
      </c>
      <c r="AM164" s="115">
        <f t="shared" si="61"/>
        <v>1190000000</v>
      </c>
      <c r="AN164" s="20"/>
    </row>
    <row r="165" spans="7:43">
      <c r="G165" s="97">
        <v>1</v>
      </c>
      <c r="H165" s="97" t="s">
        <v>5524</v>
      </c>
      <c r="I165" s="97">
        <v>0</v>
      </c>
      <c r="J165" s="1">
        <f>I165</f>
        <v>0</v>
      </c>
      <c r="K165" s="112"/>
      <c r="L165" s="94"/>
      <c r="P165" s="112"/>
      <c r="Q165" s="94"/>
      <c r="R165" s="94"/>
      <c r="S165" s="94"/>
      <c r="T165" s="111" t="s">
        <v>4420</v>
      </c>
      <c r="U165" s="54">
        <v>1000000</v>
      </c>
      <c r="V165" s="111">
        <v>239.024</v>
      </c>
      <c r="W165" s="111">
        <f t="shared" ref="W165:W266" si="62">U165*V165</f>
        <v>239024000</v>
      </c>
      <c r="X165" s="97"/>
      <c r="AH165" s="97">
        <v>145</v>
      </c>
      <c r="AI165" s="111" t="s">
        <v>4916</v>
      </c>
      <c r="AJ165" s="111">
        <v>360000</v>
      </c>
      <c r="AK165" s="97">
        <v>1</v>
      </c>
      <c r="AL165" s="20">
        <f t="shared" si="60"/>
        <v>595</v>
      </c>
      <c r="AM165" s="115">
        <f t="shared" si="61"/>
        <v>214200000</v>
      </c>
      <c r="AN165" s="20"/>
    </row>
    <row r="166" spans="7:43">
      <c r="G166" s="97"/>
      <c r="H166" s="97" t="s">
        <v>938</v>
      </c>
      <c r="I166" s="267">
        <f>J162+J163+J164+J165-J161</f>
        <v>45932968</v>
      </c>
      <c r="J166" s="1"/>
      <c r="K166" s="94"/>
      <c r="L166" s="94"/>
      <c r="N166" s="112"/>
      <c r="O166" s="112"/>
      <c r="P166" s="112"/>
      <c r="Q166" s="36" t="s">
        <v>4518</v>
      </c>
      <c r="R166" s="93">
        <f>SUM(N42:N51)</f>
        <v>4955421118</v>
      </c>
      <c r="T166" s="166" t="s">
        <v>4402</v>
      </c>
      <c r="U166" s="54">
        <v>5904</v>
      </c>
      <c r="V166" s="111">
        <v>237.148</v>
      </c>
      <c r="W166" s="111">
        <f t="shared" si="62"/>
        <v>1400121.7919999999</v>
      </c>
      <c r="X166" s="97" t="s">
        <v>744</v>
      </c>
      <c r="Z166" t="s">
        <v>25</v>
      </c>
      <c r="AH166" s="97">
        <v>146</v>
      </c>
      <c r="AI166" s="111" t="s">
        <v>4917</v>
      </c>
      <c r="AJ166" s="111">
        <v>3000000</v>
      </c>
      <c r="AK166" s="97">
        <v>1</v>
      </c>
      <c r="AL166" s="20">
        <f t="shared" si="60"/>
        <v>594</v>
      </c>
      <c r="AM166" s="115">
        <f t="shared" si="61"/>
        <v>1782000000</v>
      </c>
      <c r="AN166" s="20"/>
    </row>
    <row r="167" spans="7:43">
      <c r="K167" s="94"/>
      <c r="L167" s="94"/>
      <c r="O167" s="112"/>
      <c r="P167" s="112"/>
      <c r="Q167" s="97" t="s">
        <v>4411</v>
      </c>
      <c r="R167" s="93">
        <f>SUM(N21:N24)</f>
        <v>2808616332</v>
      </c>
      <c r="T167" s="166" t="s">
        <v>4208</v>
      </c>
      <c r="U167" s="166">
        <v>1000</v>
      </c>
      <c r="V167" s="111">
        <v>247.393</v>
      </c>
      <c r="W167" s="111">
        <f t="shared" si="62"/>
        <v>247393</v>
      </c>
      <c r="X167" s="97" t="s">
        <v>744</v>
      </c>
      <c r="Y167" t="s">
        <v>25</v>
      </c>
      <c r="AH167" s="97">
        <v>147</v>
      </c>
      <c r="AI167" s="111" t="s">
        <v>4915</v>
      </c>
      <c r="AJ167" s="111">
        <v>-658226</v>
      </c>
      <c r="AK167" s="97">
        <v>1</v>
      </c>
      <c r="AL167" s="20">
        <f t="shared" si="60"/>
        <v>593</v>
      </c>
      <c r="AM167" s="115">
        <f t="shared" si="61"/>
        <v>-390328018</v>
      </c>
      <c r="AN167" s="20"/>
    </row>
    <row r="168" spans="7:43">
      <c r="K168" s="94"/>
      <c r="L168" s="94"/>
      <c r="M168" s="94"/>
      <c r="N168" s="112"/>
      <c r="O168" s="112"/>
      <c r="P168" s="112"/>
      <c r="Q168" s="97" t="s">
        <v>4412</v>
      </c>
      <c r="R168" s="93">
        <f>SUM(N27:N29)</f>
        <v>363649076</v>
      </c>
      <c r="T168" s="166" t="s">
        <v>4448</v>
      </c>
      <c r="U168" s="166">
        <v>8071</v>
      </c>
      <c r="V168" s="111">
        <v>247.797</v>
      </c>
      <c r="W168" s="111">
        <f t="shared" si="62"/>
        <v>1999969.5870000001</v>
      </c>
      <c r="X168" s="97" t="s">
        <v>4409</v>
      </c>
      <c r="Y168" t="s">
        <v>25</v>
      </c>
      <c r="AH168" s="97">
        <v>148</v>
      </c>
      <c r="AI168" s="111" t="s">
        <v>4920</v>
      </c>
      <c r="AJ168" s="111">
        <v>1000000</v>
      </c>
      <c r="AK168" s="97">
        <v>15</v>
      </c>
      <c r="AL168" s="20">
        <f t="shared" si="60"/>
        <v>592</v>
      </c>
      <c r="AM168" s="115">
        <f t="shared" si="61"/>
        <v>592000000</v>
      </c>
      <c r="AN168" s="20"/>
      <c r="AP168" t="s">
        <v>25</v>
      </c>
    </row>
    <row r="169" spans="7:43">
      <c r="G169" s="32" t="s">
        <v>4219</v>
      </c>
      <c r="H169" s="32"/>
      <c r="I169" s="32" t="s">
        <v>4361</v>
      </c>
      <c r="K169" s="94"/>
      <c r="L169" s="94"/>
      <c r="M169" s="94"/>
      <c r="P169" s="112"/>
      <c r="Q169" s="97" t="s">
        <v>4413</v>
      </c>
      <c r="R169" s="93">
        <f>N40</f>
        <v>14293</v>
      </c>
      <c r="T169" s="166" t="s">
        <v>4448</v>
      </c>
      <c r="U169" s="166">
        <v>53672</v>
      </c>
      <c r="V169" s="111">
        <v>247.797</v>
      </c>
      <c r="W169" s="111">
        <f t="shared" si="62"/>
        <v>13299760.584000001</v>
      </c>
      <c r="X169" s="97" t="s">
        <v>452</v>
      </c>
      <c r="Y169" t="s">
        <v>25</v>
      </c>
      <c r="AA169" t="s">
        <v>25</v>
      </c>
      <c r="AH169" s="97">
        <v>149</v>
      </c>
      <c r="AI169" s="111" t="s">
        <v>4947</v>
      </c>
      <c r="AJ169" s="111">
        <v>1130250</v>
      </c>
      <c r="AK169" s="97">
        <v>5</v>
      </c>
      <c r="AL169" s="20">
        <f t="shared" si="58"/>
        <v>577</v>
      </c>
      <c r="AM169" s="115">
        <f t="shared" si="59"/>
        <v>652154250</v>
      </c>
      <c r="AN169" s="20"/>
    </row>
    <row r="170" spans="7:43">
      <c r="G170" s="32">
        <f>O21+O29+O47+I153</f>
        <v>7581914</v>
      </c>
      <c r="H170" s="32" t="s">
        <v>5475</v>
      </c>
      <c r="I170" s="32">
        <f>O22+O27+O46+I154+O42</f>
        <v>80071</v>
      </c>
      <c r="J170" s="112"/>
      <c r="K170" s="94"/>
      <c r="L170" s="94"/>
      <c r="M170" s="94"/>
      <c r="O170" s="112"/>
      <c r="P170" s="112"/>
      <c r="Q170" s="97" t="s">
        <v>4414</v>
      </c>
      <c r="R170" s="93">
        <f>N20</f>
        <v>1496880</v>
      </c>
      <c r="T170" s="166" t="s">
        <v>4456</v>
      </c>
      <c r="U170" s="166">
        <v>4099</v>
      </c>
      <c r="V170" s="111">
        <v>243.93</v>
      </c>
      <c r="W170" s="111">
        <f t="shared" si="62"/>
        <v>999869.07000000007</v>
      </c>
      <c r="X170" s="97" t="s">
        <v>4409</v>
      </c>
      <c r="AE170" s="94" t="s">
        <v>25</v>
      </c>
      <c r="AH170" s="97">
        <v>150</v>
      </c>
      <c r="AI170" s="111" t="s">
        <v>4955</v>
      </c>
      <c r="AJ170" s="111">
        <v>206000</v>
      </c>
      <c r="AK170" s="97">
        <v>2</v>
      </c>
      <c r="AL170" s="20">
        <f t="shared" si="58"/>
        <v>572</v>
      </c>
      <c r="AM170" s="115">
        <f t="shared" si="59"/>
        <v>117832000</v>
      </c>
      <c r="AN170" s="20"/>
    </row>
    <row r="171" spans="7:43">
      <c r="G171" s="32">
        <f>(J154+N28+N22+N23+N27+N45+N46+N42)/P47</f>
        <v>112193.38273921201</v>
      </c>
      <c r="H171" s="294" t="s">
        <v>5476</v>
      </c>
      <c r="I171" s="32">
        <f>(J153+N28+N47+N45+N29+N23+N21)/P46</f>
        <v>395620.53287804878</v>
      </c>
      <c r="J171" s="112"/>
      <c r="K171" s="94"/>
      <c r="L171" s="94" t="s">
        <v>25</v>
      </c>
      <c r="M171" s="94"/>
      <c r="O171" s="112"/>
      <c r="P171" s="112"/>
      <c r="Q171" s="97" t="s">
        <v>4415</v>
      </c>
      <c r="R171" s="93">
        <f>N26</f>
        <v>1055</v>
      </c>
      <c r="T171" s="166" t="s">
        <v>4456</v>
      </c>
      <c r="U171" s="166">
        <v>9301</v>
      </c>
      <c r="V171" s="111">
        <v>243.93</v>
      </c>
      <c r="W171" s="111">
        <f t="shared" si="62"/>
        <v>2268792.9300000002</v>
      </c>
      <c r="X171" s="97" t="s">
        <v>452</v>
      </c>
      <c r="Z171" t="s">
        <v>25</v>
      </c>
      <c r="AH171" s="97">
        <v>151</v>
      </c>
      <c r="AI171" s="111" t="s">
        <v>4962</v>
      </c>
      <c r="AJ171" s="111">
        <v>50000</v>
      </c>
      <c r="AK171" s="97">
        <v>2</v>
      </c>
      <c r="AL171" s="20">
        <f t="shared" si="58"/>
        <v>570</v>
      </c>
      <c r="AM171" s="115">
        <f t="shared" si="59"/>
        <v>28500000</v>
      </c>
      <c r="AN171" s="20"/>
    </row>
    <row r="172" spans="7:43">
      <c r="G172" s="32">
        <f>G170+G171</f>
        <v>7694107.3827392124</v>
      </c>
      <c r="H172" s="32" t="s">
        <v>5477</v>
      </c>
      <c r="I172" s="32">
        <f>I170+I171</f>
        <v>475691.53287804878</v>
      </c>
      <c r="J172" s="112"/>
      <c r="K172" s="94"/>
      <c r="L172" s="94"/>
      <c r="P172" s="112"/>
      <c r="Q172" s="97"/>
      <c r="R172" s="93"/>
      <c r="S172" t="s">
        <v>25</v>
      </c>
      <c r="T172" s="166" t="s">
        <v>4460</v>
      </c>
      <c r="U172" s="166">
        <v>8334</v>
      </c>
      <c r="V172" s="111">
        <v>239.97</v>
      </c>
      <c r="W172" s="111">
        <f t="shared" si="62"/>
        <v>1999909.98</v>
      </c>
      <c r="X172" s="97" t="s">
        <v>4409</v>
      </c>
      <c r="AH172" s="97">
        <v>152</v>
      </c>
      <c r="AI172" s="111" t="s">
        <v>4966</v>
      </c>
      <c r="AJ172" s="111">
        <v>105000</v>
      </c>
      <c r="AK172" s="97">
        <v>4</v>
      </c>
      <c r="AL172" s="20">
        <f t="shared" si="58"/>
        <v>568</v>
      </c>
      <c r="AM172" s="115">
        <f t="shared" si="59"/>
        <v>59640000</v>
      </c>
      <c r="AN172" s="20"/>
    </row>
    <row r="173" spans="7:43">
      <c r="G173" s="32">
        <f>(W152+W153)/P47</f>
        <v>349684.77678738529</v>
      </c>
      <c r="H173" s="32" t="s">
        <v>5452</v>
      </c>
      <c r="I173" s="32">
        <f>(W152+W153)/P46</f>
        <v>18183.608392944032</v>
      </c>
      <c r="J173" s="112"/>
      <c r="K173" s="94"/>
      <c r="L173" s="94"/>
      <c r="M173" s="94"/>
      <c r="P173" s="112"/>
      <c r="Q173" s="97" t="s">
        <v>5073</v>
      </c>
      <c r="R173" s="93">
        <v>0</v>
      </c>
      <c r="T173" s="166" t="s">
        <v>4207</v>
      </c>
      <c r="U173" s="166">
        <v>29041</v>
      </c>
      <c r="V173" s="111">
        <v>233.45</v>
      </c>
      <c r="W173" s="111">
        <f t="shared" si="62"/>
        <v>6779621.4499999993</v>
      </c>
      <c r="X173" s="97" t="s">
        <v>744</v>
      </c>
      <c r="Y173" s="120" t="s">
        <v>25</v>
      </c>
      <c r="AH173" s="97">
        <v>153</v>
      </c>
      <c r="AI173" s="111" t="s">
        <v>4970</v>
      </c>
      <c r="AJ173" s="111">
        <v>5000000</v>
      </c>
      <c r="AK173" s="97">
        <v>1</v>
      </c>
      <c r="AL173" s="20">
        <f t="shared" si="58"/>
        <v>564</v>
      </c>
      <c r="AM173" s="115">
        <f t="shared" si="59"/>
        <v>2820000000</v>
      </c>
      <c r="AN173" s="20"/>
    </row>
    <row r="174" spans="7:43">
      <c r="G174" s="32">
        <f>W150/P47</f>
        <v>2642198.3975152606</v>
      </c>
      <c r="H174" s="32" t="s">
        <v>481</v>
      </c>
      <c r="I174" s="32">
        <f>W150/P46</f>
        <v>137394.31667079355</v>
      </c>
      <c r="J174" s="112"/>
      <c r="K174" s="94"/>
      <c r="L174" s="94"/>
      <c r="P174" s="112"/>
      <c r="Q174" s="97" t="s">
        <v>5780</v>
      </c>
      <c r="R174" s="93">
        <v>-157300</v>
      </c>
      <c r="S174" s="94"/>
      <c r="T174" s="166" t="s">
        <v>979</v>
      </c>
      <c r="U174" s="166">
        <v>12337</v>
      </c>
      <c r="V174" s="111">
        <v>243.16300000000001</v>
      </c>
      <c r="W174" s="111">
        <f t="shared" si="62"/>
        <v>2999901.9310000003</v>
      </c>
      <c r="X174" s="97" t="s">
        <v>4409</v>
      </c>
      <c r="AH174" s="97">
        <v>154</v>
      </c>
      <c r="AI174" s="111" t="s">
        <v>4971</v>
      </c>
      <c r="AJ174" s="111">
        <v>2500000</v>
      </c>
      <c r="AK174" s="97">
        <v>2</v>
      </c>
      <c r="AL174" s="20">
        <f t="shared" si="58"/>
        <v>563</v>
      </c>
      <c r="AM174" s="115">
        <f t="shared" si="59"/>
        <v>1407500000</v>
      </c>
      <c r="AN174" s="20"/>
    </row>
    <row r="175" spans="7:43">
      <c r="G175" s="32">
        <f>G172-G173-G174</f>
        <v>4702224.2084365664</v>
      </c>
      <c r="H175" s="32" t="s">
        <v>5</v>
      </c>
      <c r="I175" s="32">
        <f>I172-I173-I174</f>
        <v>320113.60781431117</v>
      </c>
      <c r="J175" s="112"/>
      <c r="K175" s="94"/>
      <c r="L175" s="94"/>
      <c r="M175" t="s">
        <v>25</v>
      </c>
      <c r="P175" s="112"/>
      <c r="Q175" s="97"/>
      <c r="R175" s="93"/>
      <c r="S175" s="94"/>
      <c r="T175" s="166" t="s">
        <v>4536</v>
      </c>
      <c r="U175" s="166">
        <v>-16118</v>
      </c>
      <c r="V175" s="111">
        <v>248.17</v>
      </c>
      <c r="W175" s="111">
        <f t="shared" si="62"/>
        <v>-4000004.0599999996</v>
      </c>
      <c r="X175" s="97" t="s">
        <v>744</v>
      </c>
      <c r="Y175" t="s">
        <v>25</v>
      </c>
      <c r="AH175" s="261">
        <v>155</v>
      </c>
      <c r="AI175" s="257" t="s">
        <v>4977</v>
      </c>
      <c r="AJ175" s="257">
        <v>-50000000</v>
      </c>
      <c r="AK175" s="261">
        <v>7</v>
      </c>
      <c r="AL175" s="261">
        <f t="shared" si="58"/>
        <v>561</v>
      </c>
      <c r="AM175" s="257">
        <f t="shared" si="59"/>
        <v>-28050000000</v>
      </c>
      <c r="AN175" s="261" t="s">
        <v>4985</v>
      </c>
    </row>
    <row r="176" spans="7:43">
      <c r="P176" s="112"/>
      <c r="Q176" s="97"/>
      <c r="R176" s="93"/>
      <c r="T176" s="166" t="s">
        <v>4558</v>
      </c>
      <c r="U176" s="166">
        <v>101681</v>
      </c>
      <c r="V176" s="111">
        <v>246.5711</v>
      </c>
      <c r="W176" s="111">
        <f t="shared" si="62"/>
        <v>25071596.019099999</v>
      </c>
      <c r="X176" s="97" t="s">
        <v>452</v>
      </c>
      <c r="AH176" s="97">
        <v>156</v>
      </c>
      <c r="AI176" s="111" t="s">
        <v>4983</v>
      </c>
      <c r="AJ176" s="111">
        <v>10000000</v>
      </c>
      <c r="AK176" s="97">
        <v>12</v>
      </c>
      <c r="AL176" s="20">
        <f t="shared" si="58"/>
        <v>554</v>
      </c>
      <c r="AM176" s="115">
        <f t="shared" si="59"/>
        <v>5540000000</v>
      </c>
      <c r="AN176" s="20" t="s">
        <v>4687</v>
      </c>
    </row>
    <row r="177" spans="5:43">
      <c r="P177" s="112"/>
      <c r="Q177" s="97"/>
      <c r="R177" s="93"/>
      <c r="S177" s="94"/>
      <c r="T177" s="166" t="s">
        <v>4562</v>
      </c>
      <c r="U177" s="166">
        <v>66606</v>
      </c>
      <c r="V177" s="111">
        <v>251.131</v>
      </c>
      <c r="W177" s="111">
        <f t="shared" si="62"/>
        <v>16726831.386</v>
      </c>
      <c r="X177" s="97" t="s">
        <v>744</v>
      </c>
      <c r="AH177" s="97">
        <v>157</v>
      </c>
      <c r="AI177" s="111" t="s">
        <v>4990</v>
      </c>
      <c r="AJ177" s="111">
        <v>-16266000</v>
      </c>
      <c r="AK177" s="97">
        <v>1</v>
      </c>
      <c r="AL177" s="20">
        <f t="shared" si="58"/>
        <v>542</v>
      </c>
      <c r="AM177" s="115">
        <f t="shared" si="59"/>
        <v>-8816172000</v>
      </c>
      <c r="AN177" s="20" t="s">
        <v>4998</v>
      </c>
      <c r="AQ177" t="s">
        <v>25</v>
      </c>
    </row>
    <row r="178" spans="5:43">
      <c r="K178" s="94"/>
      <c r="L178" s="94"/>
      <c r="P178" s="112"/>
      <c r="Q178" s="97"/>
      <c r="R178" s="93"/>
      <c r="S178" s="113" t="s">
        <v>25</v>
      </c>
      <c r="T178" s="166" t="s">
        <v>4567</v>
      </c>
      <c r="U178" s="166">
        <v>172025</v>
      </c>
      <c r="V178" s="111">
        <v>245.52809999999999</v>
      </c>
      <c r="W178" s="111">
        <f t="shared" si="62"/>
        <v>42236971.402499996</v>
      </c>
      <c r="X178" s="97" t="s">
        <v>452</v>
      </c>
      <c r="AH178" s="97">
        <v>158</v>
      </c>
      <c r="AI178" s="111" t="s">
        <v>4999</v>
      </c>
      <c r="AJ178" s="111">
        <v>1000000</v>
      </c>
      <c r="AK178" s="97">
        <v>6</v>
      </c>
      <c r="AL178" s="20">
        <f>AL179+AK178</f>
        <v>541</v>
      </c>
      <c r="AM178" s="115">
        <f>AJ178*AL178</f>
        <v>541000000</v>
      </c>
      <c r="AN178" s="20"/>
    </row>
    <row r="179" spans="5:43">
      <c r="P179" s="112"/>
      <c r="Q179" s="97" t="s">
        <v>5074</v>
      </c>
      <c r="R179" s="93">
        <v>0</v>
      </c>
      <c r="S179" s="120" t="s">
        <v>25</v>
      </c>
      <c r="T179" s="166" t="s">
        <v>4567</v>
      </c>
      <c r="U179" s="166">
        <v>189227</v>
      </c>
      <c r="V179" s="111">
        <v>245.52809999999999</v>
      </c>
      <c r="W179" s="111">
        <f t="shared" si="62"/>
        <v>46460545.778700002</v>
      </c>
      <c r="X179" s="97" t="s">
        <v>744</v>
      </c>
      <c r="AH179" s="97">
        <v>159</v>
      </c>
      <c r="AI179" s="111" t="s">
        <v>5007</v>
      </c>
      <c r="AJ179" s="111">
        <v>40000</v>
      </c>
      <c r="AK179" s="97">
        <v>5</v>
      </c>
      <c r="AL179" s="20">
        <f>AL180+AK179</f>
        <v>535</v>
      </c>
      <c r="AM179" s="115">
        <f>AJ179*AL179</f>
        <v>21400000</v>
      </c>
      <c r="AN179" s="20"/>
    </row>
    <row r="180" spans="5:43">
      <c r="G180" s="32" t="s">
        <v>180</v>
      </c>
      <c r="H180" s="32" t="s">
        <v>5478</v>
      </c>
      <c r="I180" s="210" t="s">
        <v>5479</v>
      </c>
      <c r="J180" s="210" t="s">
        <v>5480</v>
      </c>
      <c r="K180" s="32" t="s">
        <v>5481</v>
      </c>
      <c r="L180" s="97" t="s">
        <v>5495</v>
      </c>
      <c r="M180" s="97" t="s">
        <v>5496</v>
      </c>
      <c r="P180" s="112"/>
      <c r="Q180" s="97"/>
      <c r="R180" s="93"/>
      <c r="S180" s="113"/>
      <c r="T180" s="166" t="s">
        <v>4568</v>
      </c>
      <c r="U180" s="166">
        <v>79720</v>
      </c>
      <c r="V180" s="111">
        <v>246.6568</v>
      </c>
      <c r="W180" s="111">
        <f t="shared" si="62"/>
        <v>19663480.096000001</v>
      </c>
      <c r="X180" s="97" t="s">
        <v>452</v>
      </c>
      <c r="Y180" s="8" t="s">
        <v>25</v>
      </c>
      <c r="Z180" t="s">
        <v>25</v>
      </c>
      <c r="AH180" s="97">
        <v>160</v>
      </c>
      <c r="AI180" s="111" t="s">
        <v>5015</v>
      </c>
      <c r="AJ180" s="111">
        <v>120000</v>
      </c>
      <c r="AK180" s="97">
        <v>6</v>
      </c>
      <c r="AL180" s="20">
        <f>AL181+AK180</f>
        <v>530</v>
      </c>
      <c r="AM180" s="115">
        <f>AJ180*AL180</f>
        <v>63600000</v>
      </c>
      <c r="AN180" s="20"/>
    </row>
    <row r="181" spans="5:43">
      <c r="G181" s="32" t="s">
        <v>5466</v>
      </c>
      <c r="H181" s="32">
        <v>3256760</v>
      </c>
      <c r="I181" s="210">
        <v>245992</v>
      </c>
      <c r="J181" s="210">
        <v>2544443</v>
      </c>
      <c r="K181" s="32">
        <v>192693</v>
      </c>
      <c r="L181" s="97">
        <f t="shared" ref="L181:L189" si="63">H181+J181</f>
        <v>5801203</v>
      </c>
      <c r="M181" s="97">
        <f t="shared" ref="M181:M189" si="64">I181+K181</f>
        <v>438685</v>
      </c>
      <c r="P181" s="112"/>
      <c r="Q181" s="97"/>
      <c r="R181" s="93"/>
      <c r="S181" s="113"/>
      <c r="T181" s="166" t="s">
        <v>4568</v>
      </c>
      <c r="U181" s="166">
        <v>79720</v>
      </c>
      <c r="V181" s="111">
        <v>246.6568</v>
      </c>
      <c r="W181" s="111">
        <f t="shared" si="62"/>
        <v>19663480.096000001</v>
      </c>
      <c r="X181" s="97" t="s">
        <v>744</v>
      </c>
      <c r="AH181" s="97">
        <v>161</v>
      </c>
      <c r="AI181" s="111" t="s">
        <v>5012</v>
      </c>
      <c r="AJ181" s="111">
        <v>249000</v>
      </c>
      <c r="AK181" s="97">
        <v>9</v>
      </c>
      <c r="AL181" s="20">
        <f>AL182+AK181</f>
        <v>524</v>
      </c>
      <c r="AM181" s="115">
        <f>AJ181*AL181</f>
        <v>130476000</v>
      </c>
      <c r="AN181" s="20"/>
    </row>
    <row r="182" spans="5:43">
      <c r="E182" t="s">
        <v>25</v>
      </c>
      <c r="G182" s="32" t="s">
        <v>5482</v>
      </c>
      <c r="H182" s="32">
        <v>3245022</v>
      </c>
      <c r="I182" s="210">
        <v>249261</v>
      </c>
      <c r="J182" s="210">
        <v>2532877</v>
      </c>
      <c r="K182" s="32">
        <v>195062</v>
      </c>
      <c r="L182" s="97">
        <f t="shared" si="63"/>
        <v>5777899</v>
      </c>
      <c r="M182" s="97">
        <f t="shared" si="64"/>
        <v>444323</v>
      </c>
      <c r="P182" s="112"/>
      <c r="Q182" s="97" t="s">
        <v>4419</v>
      </c>
      <c r="R182" s="93">
        <f>SUM(R166:R181)</f>
        <v>8129041454</v>
      </c>
      <c r="T182" s="166" t="s">
        <v>4591</v>
      </c>
      <c r="U182" s="166">
        <v>17769</v>
      </c>
      <c r="V182" s="111">
        <v>246.17877999999999</v>
      </c>
      <c r="W182" s="111">
        <f t="shared" si="62"/>
        <v>4374350.7418200001</v>
      </c>
      <c r="X182" s="97" t="s">
        <v>744</v>
      </c>
      <c r="AH182" s="97">
        <v>162</v>
      </c>
      <c r="AI182" s="111" t="s">
        <v>5037</v>
      </c>
      <c r="AJ182" s="111">
        <v>65000</v>
      </c>
      <c r="AK182" s="97">
        <v>7</v>
      </c>
      <c r="AL182" s="20">
        <f>AL183+AK182</f>
        <v>515</v>
      </c>
      <c r="AM182" s="115">
        <f>AJ182*AL182</f>
        <v>33475000</v>
      </c>
      <c r="AN182" s="20"/>
    </row>
    <row r="183" spans="5:43">
      <c r="G183" s="32" t="s">
        <v>5483</v>
      </c>
      <c r="H183" s="32"/>
      <c r="I183" s="210"/>
      <c r="J183" s="210"/>
      <c r="K183" s="32"/>
      <c r="L183" s="97">
        <f t="shared" si="63"/>
        <v>0</v>
      </c>
      <c r="M183" s="97">
        <f t="shared" si="64"/>
        <v>0</v>
      </c>
      <c r="O183" s="94"/>
      <c r="P183" s="112"/>
      <c r="Q183" s="94"/>
      <c r="T183" s="166" t="s">
        <v>4591</v>
      </c>
      <c r="U183" s="166">
        <v>17769</v>
      </c>
      <c r="V183" s="111">
        <v>246.17877999999999</v>
      </c>
      <c r="W183" s="111">
        <f t="shared" si="62"/>
        <v>4374350.7418200001</v>
      </c>
      <c r="X183" s="97" t="s">
        <v>452</v>
      </c>
      <c r="AH183" s="97">
        <v>163</v>
      </c>
      <c r="AI183" s="111" t="s">
        <v>5046</v>
      </c>
      <c r="AJ183" s="111">
        <v>-312598</v>
      </c>
      <c r="AK183" s="97">
        <v>0</v>
      </c>
      <c r="AL183" s="20">
        <f t="shared" ref="AL183:AL190" si="65">AL184+AK183</f>
        <v>508</v>
      </c>
      <c r="AM183" s="115">
        <f t="shared" ref="AM183:AM190" si="66">AJ183*AL183</f>
        <v>-158799784</v>
      </c>
      <c r="AN183" s="20"/>
      <c r="AO183" t="s">
        <v>25</v>
      </c>
      <c r="AQ183" t="s">
        <v>25</v>
      </c>
    </row>
    <row r="184" spans="5:43">
      <c r="G184" s="32" t="s">
        <v>5484</v>
      </c>
      <c r="H184" s="32"/>
      <c r="I184" s="210"/>
      <c r="J184" s="210"/>
      <c r="K184" s="32"/>
      <c r="L184" s="97">
        <f t="shared" si="63"/>
        <v>0</v>
      </c>
      <c r="M184" s="97">
        <f t="shared" si="64"/>
        <v>0</v>
      </c>
      <c r="O184" t="s">
        <v>25</v>
      </c>
      <c r="P184" s="112"/>
      <c r="T184" s="166" t="s">
        <v>4593</v>
      </c>
      <c r="U184" s="166">
        <v>12438</v>
      </c>
      <c r="V184" s="111">
        <v>241.20465999999999</v>
      </c>
      <c r="W184" s="111">
        <f t="shared" si="62"/>
        <v>3000103.5610799999</v>
      </c>
      <c r="X184" s="97" t="s">
        <v>4409</v>
      </c>
      <c r="AH184" s="97">
        <v>164</v>
      </c>
      <c r="AI184" s="111" t="s">
        <v>5046</v>
      </c>
      <c r="AJ184" s="111">
        <v>50000</v>
      </c>
      <c r="AK184" s="97">
        <v>6</v>
      </c>
      <c r="AL184" s="20">
        <f t="shared" si="65"/>
        <v>508</v>
      </c>
      <c r="AM184" s="115">
        <f t="shared" si="66"/>
        <v>25400000</v>
      </c>
      <c r="AN184" s="20"/>
    </row>
    <row r="185" spans="5:43">
      <c r="G185" s="32" t="s">
        <v>5505</v>
      </c>
      <c r="H185" s="32">
        <v>3270584</v>
      </c>
      <c r="I185" s="210">
        <v>250916</v>
      </c>
      <c r="J185" s="210">
        <v>2496979</v>
      </c>
      <c r="K185" s="32">
        <v>203160</v>
      </c>
      <c r="L185" s="97">
        <f t="shared" si="63"/>
        <v>5767563</v>
      </c>
      <c r="M185" s="97">
        <f t="shared" si="64"/>
        <v>454076</v>
      </c>
      <c r="P185" s="112"/>
      <c r="Q185" s="210" t="s">
        <v>8</v>
      </c>
      <c r="R185" s="210" t="s">
        <v>4409</v>
      </c>
      <c r="S185" s="210"/>
      <c r="T185" s="166" t="s">
        <v>4602</v>
      </c>
      <c r="U185" s="166">
        <v>27363</v>
      </c>
      <c r="V185" s="111">
        <v>239.3886</v>
      </c>
      <c r="W185" s="111">
        <f t="shared" si="62"/>
        <v>6550390.2617999995</v>
      </c>
      <c r="X185" s="97" t="s">
        <v>744</v>
      </c>
      <c r="AH185" s="97">
        <v>165</v>
      </c>
      <c r="AI185" s="111" t="s">
        <v>5056</v>
      </c>
      <c r="AJ185" s="111">
        <v>-200000</v>
      </c>
      <c r="AK185" s="97">
        <v>0</v>
      </c>
      <c r="AL185" s="20">
        <f t="shared" si="65"/>
        <v>502</v>
      </c>
      <c r="AM185" s="115">
        <f t="shared" si="66"/>
        <v>-100400000</v>
      </c>
      <c r="AN185" s="20" t="s">
        <v>5057</v>
      </c>
    </row>
    <row r="186" spans="5:43">
      <c r="G186" s="32" t="s">
        <v>5506</v>
      </c>
      <c r="H186" s="32">
        <v>3225584</v>
      </c>
      <c r="I186" s="210">
        <v>260042</v>
      </c>
      <c r="J186" s="210">
        <v>2466124</v>
      </c>
      <c r="K186" s="32">
        <v>210439</v>
      </c>
      <c r="L186" s="97">
        <f t="shared" si="63"/>
        <v>5691708</v>
      </c>
      <c r="M186" s="97">
        <f t="shared" si="64"/>
        <v>470481</v>
      </c>
      <c r="O186" t="s">
        <v>25</v>
      </c>
      <c r="P186" s="112"/>
      <c r="Q186" s="210"/>
      <c r="R186" s="71" t="s">
        <v>180</v>
      </c>
      <c r="S186" s="210" t="s">
        <v>267</v>
      </c>
      <c r="T186" s="166" t="s">
        <v>4602</v>
      </c>
      <c r="U186" s="166">
        <v>27363</v>
      </c>
      <c r="V186" s="111">
        <v>239.3886</v>
      </c>
      <c r="W186" s="111">
        <f t="shared" si="62"/>
        <v>6550390.2617999995</v>
      </c>
      <c r="X186" s="97" t="s">
        <v>452</v>
      </c>
      <c r="AB186" t="s">
        <v>25</v>
      </c>
      <c r="AH186" s="97">
        <v>166</v>
      </c>
      <c r="AI186" s="111" t="s">
        <v>5056</v>
      </c>
      <c r="AJ186" s="111">
        <v>200000</v>
      </c>
      <c r="AK186" s="97">
        <v>3</v>
      </c>
      <c r="AL186" s="20">
        <f t="shared" si="65"/>
        <v>502</v>
      </c>
      <c r="AM186" s="115">
        <f t="shared" si="66"/>
        <v>100400000</v>
      </c>
      <c r="AN186" s="20"/>
      <c r="AQ186" t="s">
        <v>25</v>
      </c>
    </row>
    <row r="187" spans="5:43">
      <c r="G187" s="32" t="s">
        <v>5507</v>
      </c>
      <c r="H187" s="32">
        <v>3271778</v>
      </c>
      <c r="I187" s="210">
        <v>282233</v>
      </c>
      <c r="J187" s="210">
        <v>2458563</v>
      </c>
      <c r="K187" s="32">
        <v>212082</v>
      </c>
      <c r="L187" s="97">
        <f t="shared" si="63"/>
        <v>5730341</v>
      </c>
      <c r="M187" s="97">
        <f t="shared" si="64"/>
        <v>494315</v>
      </c>
      <c r="P187" s="112"/>
      <c r="Q187" s="210"/>
      <c r="R187" s="210" t="s">
        <v>4402</v>
      </c>
      <c r="S187" s="111">
        <v>3000000</v>
      </c>
      <c r="T187" s="207" t="s">
        <v>4604</v>
      </c>
      <c r="U187" s="207">
        <v>27437</v>
      </c>
      <c r="V187" s="111">
        <v>242.4015</v>
      </c>
      <c r="W187" s="111">
        <f t="shared" si="62"/>
        <v>6650769.9555000002</v>
      </c>
      <c r="X187" s="97" t="s">
        <v>744</v>
      </c>
      <c r="AH187" s="97">
        <v>167</v>
      </c>
      <c r="AI187" s="111" t="s">
        <v>5063</v>
      </c>
      <c r="AJ187" s="111">
        <v>200000</v>
      </c>
      <c r="AK187" s="97">
        <v>3</v>
      </c>
      <c r="AL187" s="20">
        <f t="shared" si="65"/>
        <v>499</v>
      </c>
      <c r="AM187" s="115">
        <f t="shared" si="66"/>
        <v>99800000</v>
      </c>
      <c r="AN187" s="20"/>
    </row>
    <row r="188" spans="5:43">
      <c r="G188" s="32" t="s">
        <v>5514</v>
      </c>
      <c r="H188" s="32">
        <v>3298939</v>
      </c>
      <c r="I188" s="210">
        <v>281309</v>
      </c>
      <c r="J188" s="210">
        <v>2465538</v>
      </c>
      <c r="K188" s="32">
        <v>210242</v>
      </c>
      <c r="L188" s="97">
        <f t="shared" si="63"/>
        <v>5764477</v>
      </c>
      <c r="M188" s="97">
        <f t="shared" si="64"/>
        <v>491551</v>
      </c>
      <c r="P188" s="112"/>
      <c r="Q188" s="210"/>
      <c r="R188" s="210" t="s">
        <v>4448</v>
      </c>
      <c r="S188" s="111">
        <v>2000000</v>
      </c>
      <c r="T188" s="207" t="s">
        <v>4604</v>
      </c>
      <c r="U188" s="207">
        <v>29104</v>
      </c>
      <c r="V188" s="111">
        <v>242.4015</v>
      </c>
      <c r="W188" s="111">
        <f t="shared" si="62"/>
        <v>7054853.2560000001</v>
      </c>
      <c r="X188" s="97" t="s">
        <v>452</v>
      </c>
      <c r="AH188" s="97">
        <v>168</v>
      </c>
      <c r="AI188" s="111" t="s">
        <v>5066</v>
      </c>
      <c r="AJ188" s="111">
        <v>30000</v>
      </c>
      <c r="AK188" s="97">
        <v>7</v>
      </c>
      <c r="AL188" s="20">
        <f t="shared" si="65"/>
        <v>496</v>
      </c>
      <c r="AM188" s="115">
        <f t="shared" si="66"/>
        <v>14880000</v>
      </c>
      <c r="AN188" s="20"/>
    </row>
    <row r="189" spans="5:43">
      <c r="G189" s="32" t="s">
        <v>5518</v>
      </c>
      <c r="H189" s="32">
        <v>3453903</v>
      </c>
      <c r="I189" s="210">
        <v>259725</v>
      </c>
      <c r="J189" s="210">
        <v>2541096</v>
      </c>
      <c r="K189" s="32">
        <v>191084</v>
      </c>
      <c r="L189" s="97">
        <f t="shared" si="63"/>
        <v>5994999</v>
      </c>
      <c r="M189" s="97">
        <f t="shared" si="64"/>
        <v>450809</v>
      </c>
      <c r="P189" s="112"/>
      <c r="Q189" s="210"/>
      <c r="R189" s="210" t="s">
        <v>4456</v>
      </c>
      <c r="S189" s="111">
        <v>1000000</v>
      </c>
      <c r="T189" s="210" t="s">
        <v>4621</v>
      </c>
      <c r="U189" s="210">
        <v>8991</v>
      </c>
      <c r="V189" s="111">
        <v>238.64867000000001</v>
      </c>
      <c r="W189" s="111">
        <f t="shared" si="62"/>
        <v>2145690.19197</v>
      </c>
      <c r="X189" s="97" t="s">
        <v>744</v>
      </c>
      <c r="AH189" s="97">
        <v>169</v>
      </c>
      <c r="AI189" s="111" t="s">
        <v>5025</v>
      </c>
      <c r="AJ189" s="111">
        <v>-10000000</v>
      </c>
      <c r="AK189" s="97">
        <v>0</v>
      </c>
      <c r="AL189" s="20">
        <f t="shared" si="65"/>
        <v>489</v>
      </c>
      <c r="AM189" s="115">
        <f t="shared" si="66"/>
        <v>-4890000000</v>
      </c>
      <c r="AN189" s="20" t="s">
        <v>4985</v>
      </c>
    </row>
    <row r="190" spans="5:43">
      <c r="G190" s="32"/>
      <c r="H190" s="32"/>
      <c r="I190" s="210"/>
      <c r="J190" s="210"/>
      <c r="K190" s="32"/>
      <c r="L190" s="97"/>
      <c r="M190" s="97"/>
      <c r="P190" s="112"/>
      <c r="Q190" s="210"/>
      <c r="R190" s="210" t="s">
        <v>4460</v>
      </c>
      <c r="S190" s="111">
        <v>2000000</v>
      </c>
      <c r="T190" s="210" t="s">
        <v>4621</v>
      </c>
      <c r="U190" s="210">
        <v>8991</v>
      </c>
      <c r="V190" s="111">
        <v>238.64867000000001</v>
      </c>
      <c r="W190" s="111">
        <f t="shared" si="62"/>
        <v>2145690.19197</v>
      </c>
      <c r="X190" s="97" t="s">
        <v>452</v>
      </c>
      <c r="AH190" s="97">
        <v>170</v>
      </c>
      <c r="AI190" s="111" t="s">
        <v>5025</v>
      </c>
      <c r="AJ190" s="111">
        <v>6000000</v>
      </c>
      <c r="AK190" s="97">
        <v>8</v>
      </c>
      <c r="AL190" s="20">
        <f t="shared" si="65"/>
        <v>489</v>
      </c>
      <c r="AM190" s="115">
        <f t="shared" si="66"/>
        <v>2934000000</v>
      </c>
      <c r="AN190" s="20"/>
      <c r="AP190" t="s">
        <v>25</v>
      </c>
    </row>
    <row r="191" spans="5:43">
      <c r="G191" s="32"/>
      <c r="H191" s="32"/>
      <c r="I191" s="210"/>
      <c r="J191" s="210"/>
      <c r="K191" s="32"/>
      <c r="L191" s="97"/>
      <c r="M191" s="97"/>
      <c r="Q191" s="210"/>
      <c r="R191" s="210" t="s">
        <v>979</v>
      </c>
      <c r="S191" s="111">
        <v>3000000</v>
      </c>
      <c r="T191" s="210" t="s">
        <v>4632</v>
      </c>
      <c r="U191" s="210">
        <v>18170</v>
      </c>
      <c r="V191" s="111">
        <v>240.48475999999999</v>
      </c>
      <c r="W191" s="111">
        <f t="shared" si="62"/>
        <v>4369608.0892000003</v>
      </c>
      <c r="X191" s="97" t="s">
        <v>744</v>
      </c>
      <c r="AH191" s="97">
        <v>171</v>
      </c>
      <c r="AI191" s="111" t="s">
        <v>5091</v>
      </c>
      <c r="AJ191" s="111">
        <v>150000</v>
      </c>
      <c r="AK191" s="97">
        <v>7</v>
      </c>
      <c r="AL191" s="20">
        <f>AL192+AK191</f>
        <v>481</v>
      </c>
      <c r="AM191" s="115">
        <f>AJ191*AL191</f>
        <v>72150000</v>
      </c>
      <c r="AN191" s="20"/>
    </row>
    <row r="192" spans="5:43">
      <c r="G192" s="32"/>
      <c r="H192" s="32"/>
      <c r="I192" s="210"/>
      <c r="J192" s="210"/>
      <c r="K192" s="32"/>
      <c r="L192" s="97">
        <f>H192+J192</f>
        <v>0</v>
      </c>
      <c r="M192" s="97">
        <f>I192+K192</f>
        <v>0</v>
      </c>
      <c r="Q192" s="210"/>
      <c r="R192" s="210" t="s">
        <v>4593</v>
      </c>
      <c r="S192" s="111">
        <v>3000000</v>
      </c>
      <c r="T192" s="210" t="s">
        <v>4632</v>
      </c>
      <c r="U192" s="210">
        <v>18170</v>
      </c>
      <c r="V192" s="111">
        <v>240.48475999999999</v>
      </c>
      <c r="W192" s="111">
        <f t="shared" si="62"/>
        <v>4369608.0892000003</v>
      </c>
      <c r="X192" s="97" t="s">
        <v>452</v>
      </c>
      <c r="AH192" s="97">
        <v>172</v>
      </c>
      <c r="AI192" s="111" t="s">
        <v>5124</v>
      </c>
      <c r="AJ192" s="111">
        <v>400000</v>
      </c>
      <c r="AK192" s="97">
        <v>1</v>
      </c>
      <c r="AL192" s="20">
        <f>AL193+AK192</f>
        <v>474</v>
      </c>
      <c r="AM192" s="115">
        <f>AJ192*AL192</f>
        <v>189600000</v>
      </c>
      <c r="AN192" s="20"/>
    </row>
    <row r="193" spans="7:45">
      <c r="Q193" s="210" t="s">
        <v>4764</v>
      </c>
      <c r="R193" s="210" t="s">
        <v>4759</v>
      </c>
      <c r="S193" s="111">
        <v>-800000</v>
      </c>
      <c r="T193" s="210" t="s">
        <v>4634</v>
      </c>
      <c r="U193" s="210">
        <v>36797</v>
      </c>
      <c r="V193" s="111">
        <v>239.0822</v>
      </c>
      <c r="W193" s="111">
        <f t="shared" si="62"/>
        <v>8797507.7134000007</v>
      </c>
      <c r="X193" s="97" t="s">
        <v>744</v>
      </c>
      <c r="AH193" s="97">
        <v>173</v>
      </c>
      <c r="AI193" s="111" t="s">
        <v>5127</v>
      </c>
      <c r="AJ193" s="111">
        <v>-100000</v>
      </c>
      <c r="AK193" s="97">
        <v>1</v>
      </c>
      <c r="AL193" s="20">
        <f>AL194+AK193</f>
        <v>473</v>
      </c>
      <c r="AM193" s="115">
        <f>AJ193*AL193</f>
        <v>-47300000</v>
      </c>
      <c r="AN193" s="20"/>
    </row>
    <row r="194" spans="7:45">
      <c r="Q194" s="210" t="s">
        <v>4765</v>
      </c>
      <c r="R194" s="210" t="s">
        <v>4759</v>
      </c>
      <c r="S194" s="111">
        <v>-900000</v>
      </c>
      <c r="T194" s="210" t="s">
        <v>4634</v>
      </c>
      <c r="U194" s="210">
        <v>36797</v>
      </c>
      <c r="V194" s="111">
        <v>239.0822</v>
      </c>
      <c r="W194" s="111">
        <f t="shared" si="62"/>
        <v>8797507.7134000007</v>
      </c>
      <c r="X194" s="97" t="s">
        <v>452</v>
      </c>
      <c r="Z194" t="s">
        <v>25</v>
      </c>
      <c r="AH194" s="97">
        <v>174</v>
      </c>
      <c r="AI194" s="111" t="s">
        <v>5131</v>
      </c>
      <c r="AJ194" s="111">
        <v>10000000</v>
      </c>
      <c r="AK194" s="97">
        <v>1</v>
      </c>
      <c r="AL194" s="20">
        <f>AL195+AK194</f>
        <v>472</v>
      </c>
      <c r="AM194" s="115">
        <f>AJ194*AL194</f>
        <v>4720000000</v>
      </c>
      <c r="AN194" s="20" t="s">
        <v>4687</v>
      </c>
      <c r="AS194" t="s">
        <v>25</v>
      </c>
    </row>
    <row r="195" spans="7:45">
      <c r="G195" s="97" t="s">
        <v>5468</v>
      </c>
      <c r="H195" s="97"/>
      <c r="I195" s="97"/>
      <c r="K195" t="s">
        <v>25</v>
      </c>
      <c r="M195" t="s">
        <v>25</v>
      </c>
      <c r="Q195" s="210" t="s">
        <v>4765</v>
      </c>
      <c r="R195" s="210" t="s">
        <v>966</v>
      </c>
      <c r="S195" s="111">
        <v>-1100000</v>
      </c>
      <c r="T195" s="210" t="s">
        <v>4643</v>
      </c>
      <c r="U195" s="210">
        <v>28066</v>
      </c>
      <c r="V195" s="111">
        <v>237.56970000000001</v>
      </c>
      <c r="W195" s="111">
        <f t="shared" si="62"/>
        <v>6667631.2002000008</v>
      </c>
      <c r="X195" s="97" t="s">
        <v>744</v>
      </c>
      <c r="AH195" s="97">
        <v>175</v>
      </c>
      <c r="AI195" s="111" t="s">
        <v>5136</v>
      </c>
      <c r="AJ195" s="111">
        <v>-400000</v>
      </c>
      <c r="AK195" s="97">
        <v>6</v>
      </c>
      <c r="AL195" s="20">
        <f t="shared" ref="AL195:AL203" si="67">AL196+AK195</f>
        <v>471</v>
      </c>
      <c r="AM195" s="115">
        <f t="shared" ref="AM195:AM203" si="68">AJ195*AL195</f>
        <v>-188400000</v>
      </c>
      <c r="AN195" s="20"/>
    </row>
    <row r="196" spans="7:45">
      <c r="G196" s="97" t="s">
        <v>452</v>
      </c>
      <c r="H196" s="97">
        <v>199</v>
      </c>
      <c r="I196" s="97" t="s">
        <v>5469</v>
      </c>
      <c r="Q196" s="188" t="s">
        <v>1071</v>
      </c>
      <c r="R196" s="188" t="s">
        <v>4788</v>
      </c>
      <c r="S196" s="194">
        <v>30000000</v>
      </c>
      <c r="T196" s="210" t="s">
        <v>4643</v>
      </c>
      <c r="U196" s="210">
        <v>28066</v>
      </c>
      <c r="V196" s="111">
        <v>237.56970000000001</v>
      </c>
      <c r="W196" s="111">
        <f t="shared" si="62"/>
        <v>6667631.2002000008</v>
      </c>
      <c r="X196" s="97" t="s">
        <v>452</v>
      </c>
      <c r="Y196" t="s">
        <v>25</v>
      </c>
      <c r="AH196" s="97">
        <v>176</v>
      </c>
      <c r="AI196" s="111" t="s">
        <v>5143</v>
      </c>
      <c r="AJ196" s="111">
        <v>1300000</v>
      </c>
      <c r="AK196" s="97">
        <v>0</v>
      </c>
      <c r="AL196" s="20">
        <f t="shared" si="67"/>
        <v>465</v>
      </c>
      <c r="AM196" s="115">
        <f t="shared" si="68"/>
        <v>604500000</v>
      </c>
      <c r="AN196" s="20"/>
      <c r="AR196" t="s">
        <v>25</v>
      </c>
    </row>
    <row r="197" spans="7:45">
      <c r="G197" s="97" t="s">
        <v>744</v>
      </c>
      <c r="H197" s="97">
        <v>200</v>
      </c>
      <c r="I197" s="97" t="s">
        <v>5470</v>
      </c>
      <c r="M197" t="s">
        <v>25</v>
      </c>
      <c r="P197" s="112"/>
      <c r="Q197" s="19" t="s">
        <v>4868</v>
      </c>
      <c r="R197" s="19" t="s">
        <v>4866</v>
      </c>
      <c r="S197" s="115">
        <v>2000000</v>
      </c>
      <c r="T197" s="210" t="s">
        <v>3668</v>
      </c>
      <c r="U197" s="210">
        <v>37457</v>
      </c>
      <c r="V197" s="111">
        <v>239.77</v>
      </c>
      <c r="W197" s="111">
        <f t="shared" si="62"/>
        <v>8981064.8900000006</v>
      </c>
      <c r="X197" s="97" t="s">
        <v>744</v>
      </c>
      <c r="AH197" s="97">
        <v>177</v>
      </c>
      <c r="AI197" s="111" t="s">
        <v>5143</v>
      </c>
      <c r="AJ197" s="111">
        <v>230000</v>
      </c>
      <c r="AK197" s="97">
        <v>1</v>
      </c>
      <c r="AL197" s="20">
        <f t="shared" si="67"/>
        <v>465</v>
      </c>
      <c r="AM197" s="115">
        <f t="shared" si="68"/>
        <v>106950000</v>
      </c>
      <c r="AN197" s="20"/>
    </row>
    <row r="198" spans="7:45">
      <c r="G198" s="97" t="s">
        <v>5443</v>
      </c>
      <c r="H198" s="97">
        <v>200</v>
      </c>
      <c r="I198" s="97" t="s">
        <v>5511</v>
      </c>
      <c r="P198" s="112"/>
      <c r="Q198" s="187" t="s">
        <v>4890</v>
      </c>
      <c r="R198" s="187" t="s">
        <v>4889</v>
      </c>
      <c r="S198" s="186">
        <v>480105</v>
      </c>
      <c r="T198" s="210" t="s">
        <v>3668</v>
      </c>
      <c r="U198" s="210">
        <v>37457</v>
      </c>
      <c r="V198" s="111">
        <v>239.77</v>
      </c>
      <c r="W198" s="111">
        <f t="shared" si="62"/>
        <v>8981064.8900000006</v>
      </c>
      <c r="X198" s="97" t="s">
        <v>452</v>
      </c>
      <c r="Y198" s="94" t="s">
        <v>25</v>
      </c>
      <c r="AH198" s="97">
        <v>178</v>
      </c>
      <c r="AI198" s="111" t="s">
        <v>5146</v>
      </c>
      <c r="AJ198" s="111">
        <v>880000</v>
      </c>
      <c r="AK198" s="97">
        <v>4</v>
      </c>
      <c r="AL198" s="20">
        <f t="shared" si="67"/>
        <v>464</v>
      </c>
      <c r="AM198" s="115">
        <f t="shared" si="68"/>
        <v>408320000</v>
      </c>
      <c r="AN198" s="20"/>
    </row>
    <row r="199" spans="7:45">
      <c r="G199" s="97" t="s">
        <v>1071</v>
      </c>
      <c r="H199" s="97">
        <v>200</v>
      </c>
      <c r="I199" s="97" t="s">
        <v>5471</v>
      </c>
      <c r="P199" s="112"/>
      <c r="Q199" s="187"/>
      <c r="R199" s="187" t="s">
        <v>4930</v>
      </c>
      <c r="S199" s="186">
        <v>30500000</v>
      </c>
      <c r="T199" s="210" t="s">
        <v>4655</v>
      </c>
      <c r="U199" s="210">
        <v>38412</v>
      </c>
      <c r="V199" s="111">
        <v>239.03</v>
      </c>
      <c r="W199" s="111">
        <f t="shared" si="62"/>
        <v>9181620.3599999994</v>
      </c>
      <c r="X199" s="97" t="s">
        <v>744</v>
      </c>
      <c r="Y199" t="s">
        <v>25</v>
      </c>
      <c r="AH199" s="97">
        <v>179</v>
      </c>
      <c r="AI199" s="111" t="s">
        <v>5150</v>
      </c>
      <c r="AJ199" s="111">
        <v>-900000</v>
      </c>
      <c r="AK199" s="97">
        <v>1</v>
      </c>
      <c r="AL199" s="20">
        <f t="shared" si="67"/>
        <v>460</v>
      </c>
      <c r="AM199" s="115">
        <f t="shared" si="68"/>
        <v>-414000000</v>
      </c>
      <c r="AN199" s="20"/>
    </row>
    <row r="200" spans="7:45">
      <c r="G200" s="97"/>
      <c r="H200" s="97"/>
      <c r="I200" s="97"/>
      <c r="P200" s="112"/>
      <c r="Q200" s="19" t="s">
        <v>4960</v>
      </c>
      <c r="R200" s="19" t="s">
        <v>4955</v>
      </c>
      <c r="S200" s="115">
        <v>-400000</v>
      </c>
      <c r="T200" s="210" t="s">
        <v>4655</v>
      </c>
      <c r="U200" s="210">
        <v>38412</v>
      </c>
      <c r="V200" s="111">
        <v>239.03</v>
      </c>
      <c r="W200" s="111">
        <f t="shared" si="62"/>
        <v>9181620.3599999994</v>
      </c>
      <c r="X200" s="97" t="s">
        <v>452</v>
      </c>
      <c r="AH200" s="97">
        <v>180</v>
      </c>
      <c r="AI200" s="111" t="s">
        <v>977</v>
      </c>
      <c r="AJ200" s="111">
        <v>-3500000</v>
      </c>
      <c r="AK200" s="97">
        <v>1</v>
      </c>
      <c r="AL200" s="20">
        <f t="shared" si="67"/>
        <v>459</v>
      </c>
      <c r="AM200" s="115">
        <f t="shared" si="68"/>
        <v>-1606500000</v>
      </c>
      <c r="AN200" s="20"/>
      <c r="AR200" t="s">
        <v>25</v>
      </c>
    </row>
    <row r="201" spans="7:45">
      <c r="G201" s="97"/>
      <c r="H201" s="97"/>
      <c r="I201" s="97"/>
      <c r="P201" s="112"/>
      <c r="Q201" s="187" t="s">
        <v>5069</v>
      </c>
      <c r="R201" s="187" t="s">
        <v>4990</v>
      </c>
      <c r="S201" s="186">
        <v>-349550</v>
      </c>
      <c r="T201" s="210" t="s">
        <v>4658</v>
      </c>
      <c r="U201" s="210">
        <v>49555</v>
      </c>
      <c r="V201" s="111">
        <v>238.345</v>
      </c>
      <c r="W201" s="111">
        <f t="shared" si="62"/>
        <v>11811186.475</v>
      </c>
      <c r="X201" s="97" t="s">
        <v>744</v>
      </c>
      <c r="AH201" s="97">
        <v>181</v>
      </c>
      <c r="AI201" s="111" t="s">
        <v>4256</v>
      </c>
      <c r="AJ201" s="111">
        <v>-1600000</v>
      </c>
      <c r="AK201" s="97">
        <v>1</v>
      </c>
      <c r="AL201" s="20">
        <f t="shared" si="67"/>
        <v>458</v>
      </c>
      <c r="AM201" s="115">
        <f t="shared" si="68"/>
        <v>-732800000</v>
      </c>
      <c r="AN201" s="20"/>
      <c r="AQ201" t="s">
        <v>25</v>
      </c>
    </row>
    <row r="202" spans="7:45">
      <c r="G202" s="97"/>
      <c r="H202" s="97"/>
      <c r="I202" s="97"/>
      <c r="K202" t="s">
        <v>25</v>
      </c>
      <c r="M202" t="s">
        <v>25</v>
      </c>
      <c r="P202" s="112"/>
      <c r="Q202" s="19" t="s">
        <v>4960</v>
      </c>
      <c r="R202" s="19" t="s">
        <v>5131</v>
      </c>
      <c r="S202" s="115">
        <v>-200000</v>
      </c>
      <c r="T202" s="210" t="s">
        <v>4658</v>
      </c>
      <c r="U202" s="210">
        <v>49555</v>
      </c>
      <c r="V202" s="111">
        <v>238.345</v>
      </c>
      <c r="W202" s="111">
        <f t="shared" si="62"/>
        <v>11811186.475</v>
      </c>
      <c r="X202" s="97" t="s">
        <v>452</v>
      </c>
      <c r="AH202" s="97">
        <v>182</v>
      </c>
      <c r="AI202" s="111" t="s">
        <v>5155</v>
      </c>
      <c r="AJ202" s="111">
        <v>-800000</v>
      </c>
      <c r="AK202" s="97">
        <v>7</v>
      </c>
      <c r="AL202" s="20">
        <f t="shared" si="67"/>
        <v>457</v>
      </c>
      <c r="AM202" s="115">
        <f t="shared" si="68"/>
        <v>-365600000</v>
      </c>
      <c r="AN202" s="20"/>
    </row>
    <row r="203" spans="7:45">
      <c r="G203" s="97"/>
      <c r="H203" s="97"/>
      <c r="I203" s="97"/>
      <c r="P203" s="112"/>
      <c r="Q203" s="19" t="s">
        <v>4960</v>
      </c>
      <c r="R203" s="19" t="s">
        <v>5163</v>
      </c>
      <c r="S203" s="115">
        <v>-122000</v>
      </c>
      <c r="T203" s="210" t="s">
        <v>4672</v>
      </c>
      <c r="U203" s="210">
        <v>160187</v>
      </c>
      <c r="V203" s="111">
        <v>257.49799999999999</v>
      </c>
      <c r="W203" s="111">
        <f t="shared" si="62"/>
        <v>41247832.126000002</v>
      </c>
      <c r="X203" s="97" t="s">
        <v>744</v>
      </c>
      <c r="Y203" t="s">
        <v>25</v>
      </c>
      <c r="AA203" t="s">
        <v>25</v>
      </c>
      <c r="AH203" s="97">
        <v>183</v>
      </c>
      <c r="AI203" s="111" t="s">
        <v>5163</v>
      </c>
      <c r="AJ203" s="111">
        <v>50000</v>
      </c>
      <c r="AK203" s="97">
        <v>2</v>
      </c>
      <c r="AL203" s="20">
        <f t="shared" si="67"/>
        <v>450</v>
      </c>
      <c r="AM203" s="115">
        <f t="shared" si="68"/>
        <v>22500000</v>
      </c>
      <c r="AN203" s="20"/>
    </row>
    <row r="204" spans="7:45">
      <c r="P204" s="112"/>
      <c r="Q204" s="19" t="s">
        <v>4960</v>
      </c>
      <c r="R204" s="19" t="s">
        <v>5171</v>
      </c>
      <c r="S204" s="115">
        <v>-700000</v>
      </c>
      <c r="T204" s="210" t="s">
        <v>4672</v>
      </c>
      <c r="U204" s="210">
        <v>160187</v>
      </c>
      <c r="V204" s="111">
        <v>257.49799999999999</v>
      </c>
      <c r="W204" s="111">
        <f t="shared" si="62"/>
        <v>41247832.126000002</v>
      </c>
      <c r="X204" s="97" t="s">
        <v>452</v>
      </c>
      <c r="AH204" s="97">
        <v>184</v>
      </c>
      <c r="AI204" s="111" t="s">
        <v>5165</v>
      </c>
      <c r="AJ204" s="111">
        <v>400000</v>
      </c>
      <c r="AK204" s="97">
        <v>8</v>
      </c>
      <c r="AL204" s="20">
        <f t="shared" ref="AL204:AL213" si="69">AL205+AK204</f>
        <v>448</v>
      </c>
      <c r="AM204" s="115">
        <f t="shared" ref="AM204:AM213" si="70">AJ204*AL204</f>
        <v>179200000</v>
      </c>
      <c r="AN204" s="20"/>
      <c r="AR204" t="s">
        <v>25</v>
      </c>
    </row>
    <row r="205" spans="7:45">
      <c r="G205" s="210" t="s">
        <v>180</v>
      </c>
      <c r="H205" s="210" t="s">
        <v>5494</v>
      </c>
      <c r="I205" t="s">
        <v>5487</v>
      </c>
      <c r="Q205" s="19" t="s">
        <v>4960</v>
      </c>
      <c r="R205" s="19" t="s">
        <v>5181</v>
      </c>
      <c r="S205" s="115">
        <v>-60000</v>
      </c>
      <c r="T205" s="210" t="s">
        <v>4679</v>
      </c>
      <c r="U205" s="210">
        <v>144401</v>
      </c>
      <c r="V205" s="111">
        <v>258.5061</v>
      </c>
      <c r="W205" s="111">
        <f t="shared" si="62"/>
        <v>37328539.346100003</v>
      </c>
      <c r="X205" s="97" t="s">
        <v>744</v>
      </c>
      <c r="Z205" t="s">
        <v>25</v>
      </c>
      <c r="AH205" s="97">
        <v>185</v>
      </c>
      <c r="AI205" s="111" t="s">
        <v>5141</v>
      </c>
      <c r="AJ205" s="111">
        <v>-10000000</v>
      </c>
      <c r="AK205" s="97">
        <v>0</v>
      </c>
      <c r="AL205" s="20">
        <f t="shared" si="69"/>
        <v>440</v>
      </c>
      <c r="AM205" s="115">
        <f t="shared" si="70"/>
        <v>-4400000000</v>
      </c>
      <c r="AN205" s="20" t="s">
        <v>4985</v>
      </c>
    </row>
    <row r="206" spans="7:45">
      <c r="G206" s="210" t="s">
        <v>5457</v>
      </c>
      <c r="H206" s="1">
        <v>30000000</v>
      </c>
      <c r="I206" t="s">
        <v>5488</v>
      </c>
      <c r="P206" s="112"/>
      <c r="Q206" s="19" t="s">
        <v>4409</v>
      </c>
      <c r="R206" s="19" t="s">
        <v>5240</v>
      </c>
      <c r="S206" s="115">
        <v>700000</v>
      </c>
      <c r="T206" s="210" t="s">
        <v>4679</v>
      </c>
      <c r="U206" s="210">
        <v>144401</v>
      </c>
      <c r="V206" s="111">
        <v>258.5061</v>
      </c>
      <c r="W206" s="111">
        <f t="shared" si="62"/>
        <v>37328539.346100003</v>
      </c>
      <c r="X206" s="97" t="s">
        <v>452</v>
      </c>
      <c r="AH206" s="97">
        <v>186</v>
      </c>
      <c r="AI206" s="111" t="s">
        <v>5141</v>
      </c>
      <c r="AJ206" s="111">
        <v>3000000</v>
      </c>
      <c r="AK206" s="97">
        <v>1</v>
      </c>
      <c r="AL206" s="20">
        <f t="shared" si="69"/>
        <v>440</v>
      </c>
      <c r="AM206" s="115">
        <f t="shared" si="70"/>
        <v>1320000000</v>
      </c>
      <c r="AN206" s="20"/>
    </row>
    <row r="207" spans="7:45">
      <c r="G207" s="210" t="s">
        <v>5458</v>
      </c>
      <c r="H207" s="1">
        <v>550000</v>
      </c>
      <c r="I207" t="s">
        <v>5489</v>
      </c>
      <c r="P207" s="112"/>
      <c r="Q207" s="187" t="s">
        <v>1071</v>
      </c>
      <c r="R207" s="187" t="s">
        <v>5259</v>
      </c>
      <c r="S207" s="186">
        <v>40000000</v>
      </c>
      <c r="T207" s="166" t="s">
        <v>4685</v>
      </c>
      <c r="U207" s="166">
        <v>196500</v>
      </c>
      <c r="V207" s="111">
        <v>254.452</v>
      </c>
      <c r="W207" s="111">
        <f t="shared" si="62"/>
        <v>49999818</v>
      </c>
      <c r="X207" s="97" t="s">
        <v>4689</v>
      </c>
      <c r="Y207" t="s">
        <v>25</v>
      </c>
      <c r="AH207" s="97">
        <v>187</v>
      </c>
      <c r="AI207" s="111" t="s">
        <v>5177</v>
      </c>
      <c r="AJ207" s="111">
        <v>500000</v>
      </c>
      <c r="AK207" s="97">
        <v>23</v>
      </c>
      <c r="AL207" s="20">
        <f t="shared" si="69"/>
        <v>439</v>
      </c>
      <c r="AM207" s="115">
        <f t="shared" si="70"/>
        <v>219500000</v>
      </c>
      <c r="AN207" s="20"/>
      <c r="AR207" t="s">
        <v>25</v>
      </c>
    </row>
    <row r="208" spans="7:45">
      <c r="G208" s="210" t="s">
        <v>5459</v>
      </c>
      <c r="H208" s="1">
        <v>70370000</v>
      </c>
      <c r="I208" t="s">
        <v>4084</v>
      </c>
      <c r="Q208" s="19" t="s">
        <v>4409</v>
      </c>
      <c r="R208" s="19" t="s">
        <v>5263</v>
      </c>
      <c r="S208" s="115">
        <v>-800000</v>
      </c>
      <c r="T208" s="210" t="s">
        <v>4685</v>
      </c>
      <c r="U208" s="210">
        <v>2561</v>
      </c>
      <c r="V208" s="111">
        <v>254.536</v>
      </c>
      <c r="W208" s="111">
        <f t="shared" si="62"/>
        <v>651866.696</v>
      </c>
      <c r="X208" s="97" t="s">
        <v>4690</v>
      </c>
      <c r="AA208" t="s">
        <v>25</v>
      </c>
      <c r="AH208" s="97">
        <v>188</v>
      </c>
      <c r="AI208" s="111" t="s">
        <v>5198</v>
      </c>
      <c r="AJ208" s="111">
        <v>101268</v>
      </c>
      <c r="AK208" s="97">
        <v>1</v>
      </c>
      <c r="AL208" s="20">
        <f t="shared" si="69"/>
        <v>416</v>
      </c>
      <c r="AM208" s="115">
        <f t="shared" si="70"/>
        <v>42127488</v>
      </c>
      <c r="AN208" s="20"/>
      <c r="AR208" t="s">
        <v>25</v>
      </c>
    </row>
    <row r="209" spans="6:46">
      <c r="G209" s="210" t="s">
        <v>5460</v>
      </c>
      <c r="H209" s="1">
        <v>1215000</v>
      </c>
      <c r="I209" t="s">
        <v>5490</v>
      </c>
      <c r="P209" s="112"/>
      <c r="Q209" s="210" t="s">
        <v>4409</v>
      </c>
      <c r="R209" s="210" t="s">
        <v>5346</v>
      </c>
      <c r="S209" s="115">
        <v>700000</v>
      </c>
      <c r="T209" s="210" t="s">
        <v>4731</v>
      </c>
      <c r="U209" s="210">
        <v>-11795</v>
      </c>
      <c r="V209" s="111">
        <v>254.334</v>
      </c>
      <c r="W209" s="111">
        <f t="shared" si="62"/>
        <v>-2999869.5300000003</v>
      </c>
      <c r="X209" s="97" t="s">
        <v>4732</v>
      </c>
      <c r="AH209" s="97">
        <v>189</v>
      </c>
      <c r="AI209" s="111" t="s">
        <v>5201</v>
      </c>
      <c r="AJ209" s="111">
        <v>101000</v>
      </c>
      <c r="AK209" s="97">
        <v>34</v>
      </c>
      <c r="AL209" s="20">
        <f t="shared" si="69"/>
        <v>415</v>
      </c>
      <c r="AM209" s="115">
        <f t="shared" si="70"/>
        <v>41915000</v>
      </c>
      <c r="AN209" s="20"/>
      <c r="AP209" t="s">
        <v>25</v>
      </c>
      <c r="AT209" s="94" t="s">
        <v>25</v>
      </c>
    </row>
    <row r="210" spans="6:46">
      <c r="G210" s="210" t="s">
        <v>5461</v>
      </c>
      <c r="H210" s="1">
        <v>15350000</v>
      </c>
      <c r="I210" t="s">
        <v>5491</v>
      </c>
      <c r="P210" s="112"/>
      <c r="Q210" s="187" t="s">
        <v>5367</v>
      </c>
      <c r="R210" s="187" t="s">
        <v>5365</v>
      </c>
      <c r="S210" s="186">
        <v>-26000000</v>
      </c>
      <c r="T210" s="210" t="s">
        <v>4731</v>
      </c>
      <c r="U210" s="210">
        <v>11795</v>
      </c>
      <c r="V210" s="111">
        <v>254.334</v>
      </c>
      <c r="W210" s="111">
        <f t="shared" si="62"/>
        <v>2999869.5300000003</v>
      </c>
      <c r="X210" s="97" t="s">
        <v>4733</v>
      </c>
      <c r="AH210" s="97">
        <v>190</v>
      </c>
      <c r="AI210" s="111" t="s">
        <v>5226</v>
      </c>
      <c r="AJ210" s="111">
        <v>-488602</v>
      </c>
      <c r="AK210" s="97">
        <v>5</v>
      </c>
      <c r="AL210" s="20">
        <f t="shared" si="69"/>
        <v>381</v>
      </c>
      <c r="AM210" s="115">
        <f t="shared" si="70"/>
        <v>-186157362</v>
      </c>
      <c r="AN210" s="20"/>
      <c r="AR210" t="s">
        <v>25</v>
      </c>
    </row>
    <row r="211" spans="6:46">
      <c r="G211" s="210" t="s">
        <v>5462</v>
      </c>
      <c r="H211" s="1">
        <v>70000</v>
      </c>
      <c r="I211" t="s">
        <v>5492</v>
      </c>
      <c r="Q211" s="187" t="s">
        <v>5367</v>
      </c>
      <c r="R211" s="187" t="s">
        <v>5369</v>
      </c>
      <c r="S211" s="186">
        <v>-95900000</v>
      </c>
      <c r="T211" s="210" t="s">
        <v>4745</v>
      </c>
      <c r="U211" s="210">
        <v>260</v>
      </c>
      <c r="V211" s="111">
        <v>263.19</v>
      </c>
      <c r="W211" s="111">
        <f t="shared" si="62"/>
        <v>68429.399999999994</v>
      </c>
      <c r="X211" s="97" t="s">
        <v>452</v>
      </c>
      <c r="AH211" s="97">
        <v>191</v>
      </c>
      <c r="AI211" s="111" t="s">
        <v>5240</v>
      </c>
      <c r="AJ211" s="111">
        <v>360000</v>
      </c>
      <c r="AK211" s="97">
        <v>10</v>
      </c>
      <c r="AL211" s="20">
        <f t="shared" si="69"/>
        <v>376</v>
      </c>
      <c r="AM211" s="115">
        <f t="shared" si="70"/>
        <v>135360000</v>
      </c>
      <c r="AN211" s="20"/>
      <c r="AR211" t="s">
        <v>25</v>
      </c>
    </row>
    <row r="212" spans="6:46">
      <c r="G212" s="210" t="s">
        <v>5466</v>
      </c>
      <c r="H212" s="1">
        <v>800000</v>
      </c>
      <c r="I212" t="s">
        <v>5493</v>
      </c>
      <c r="P212" s="112"/>
      <c r="Q212" s="187" t="s">
        <v>5367</v>
      </c>
      <c r="R212" s="187" t="s">
        <v>5370</v>
      </c>
      <c r="S212" s="186">
        <v>-28950000</v>
      </c>
      <c r="T212" s="210" t="s">
        <v>4754</v>
      </c>
      <c r="U212" s="210">
        <v>15257</v>
      </c>
      <c r="V212" s="111">
        <v>262.19018</v>
      </c>
      <c r="W212" s="111">
        <f t="shared" si="62"/>
        <v>4000235.57626</v>
      </c>
      <c r="X212" s="97" t="s">
        <v>452</v>
      </c>
      <c r="AH212" s="97">
        <v>192</v>
      </c>
      <c r="AI212" s="111" t="s">
        <v>5250</v>
      </c>
      <c r="AJ212" s="111">
        <v>-3600000</v>
      </c>
      <c r="AK212" s="97">
        <v>4</v>
      </c>
      <c r="AL212" s="20">
        <f t="shared" si="69"/>
        <v>366</v>
      </c>
      <c r="AM212" s="115">
        <f t="shared" si="70"/>
        <v>-1317600000</v>
      </c>
      <c r="AN212" s="20"/>
      <c r="AS212" t="s">
        <v>25</v>
      </c>
    </row>
    <row r="213" spans="6:46">
      <c r="G213" s="210" t="s">
        <v>5482</v>
      </c>
      <c r="H213" s="1">
        <v>1948000</v>
      </c>
      <c r="Q213" s="170" t="s">
        <v>5380</v>
      </c>
      <c r="R213" s="170" t="s">
        <v>5378</v>
      </c>
      <c r="S213" s="168">
        <v>2000000</v>
      </c>
      <c r="T213" s="210" t="s">
        <v>4754</v>
      </c>
      <c r="U213" s="210">
        <v>8444</v>
      </c>
      <c r="V213" s="111">
        <v>266.43029999999999</v>
      </c>
      <c r="W213" s="111">
        <f t="shared" si="62"/>
        <v>2249737.4531999999</v>
      </c>
      <c r="X213" s="97" t="s">
        <v>452</v>
      </c>
      <c r="AH213" s="97">
        <v>193</v>
      </c>
      <c r="AI213" s="111" t="s">
        <v>5256</v>
      </c>
      <c r="AJ213" s="111">
        <v>-1000000</v>
      </c>
      <c r="AK213" s="97">
        <v>5</v>
      </c>
      <c r="AL213" s="20">
        <f t="shared" si="69"/>
        <v>362</v>
      </c>
      <c r="AM213" s="115">
        <f t="shared" si="70"/>
        <v>-362000000</v>
      </c>
      <c r="AN213" s="20"/>
      <c r="AR213" t="s">
        <v>25</v>
      </c>
    </row>
    <row r="214" spans="6:46">
      <c r="G214" s="210" t="s">
        <v>5512</v>
      </c>
      <c r="H214" s="1">
        <v>5745697.3157000002</v>
      </c>
      <c r="Q214" s="187" t="s">
        <v>5386</v>
      </c>
      <c r="R214" s="187" t="s">
        <v>5384</v>
      </c>
      <c r="S214" s="186">
        <v>1896188</v>
      </c>
      <c r="T214" s="210" t="s">
        <v>4759</v>
      </c>
      <c r="U214" s="210">
        <v>-6209</v>
      </c>
      <c r="V214" s="111">
        <v>273.79649999999998</v>
      </c>
      <c r="W214" s="111">
        <f t="shared" si="62"/>
        <v>-1700002.4685</v>
      </c>
      <c r="X214" s="97" t="s">
        <v>4770</v>
      </c>
      <c r="AH214" s="97">
        <v>194</v>
      </c>
      <c r="AI214" s="111" t="s">
        <v>5261</v>
      </c>
      <c r="AJ214" s="111">
        <v>360000</v>
      </c>
      <c r="AK214" s="97">
        <v>2</v>
      </c>
      <c r="AL214" s="20">
        <f t="shared" ref="AL214:AL263" si="71">AL215+AK214</f>
        <v>357</v>
      </c>
      <c r="AM214" s="115">
        <f t="shared" ref="AM214:AM263" si="72">AJ214*AL214</f>
        <v>128520000</v>
      </c>
      <c r="AN214" s="20"/>
      <c r="AQ214" t="s">
        <v>25</v>
      </c>
    </row>
    <row r="215" spans="6:46">
      <c r="G215" s="210" t="s">
        <v>5513</v>
      </c>
      <c r="H215" s="1">
        <v>908158.17935999995</v>
      </c>
      <c r="Q215" s="187" t="s">
        <v>5568</v>
      </c>
      <c r="R215" s="187" t="s">
        <v>4212</v>
      </c>
      <c r="S215" s="186">
        <v>13752871.322800001</v>
      </c>
      <c r="T215" s="210" t="s">
        <v>4759</v>
      </c>
      <c r="U215" s="210">
        <v>-8014</v>
      </c>
      <c r="V215" s="111">
        <v>273.79649999999998</v>
      </c>
      <c r="W215" s="111">
        <f t="shared" si="62"/>
        <v>-2194205.1510000001</v>
      </c>
      <c r="X215" s="97" t="s">
        <v>744</v>
      </c>
      <c r="AH215" s="97">
        <v>195</v>
      </c>
      <c r="AI215" s="111" t="s">
        <v>5266</v>
      </c>
      <c r="AJ215" s="111">
        <v>2000000</v>
      </c>
      <c r="AK215" s="97">
        <v>1</v>
      </c>
      <c r="AL215" s="20">
        <f t="shared" si="71"/>
        <v>355</v>
      </c>
      <c r="AM215" s="115">
        <f t="shared" si="72"/>
        <v>710000000</v>
      </c>
      <c r="AN215" s="20"/>
    </row>
    <row r="216" spans="6:46">
      <c r="G216" s="210" t="s">
        <v>5514</v>
      </c>
      <c r="H216" s="1">
        <v>12642697.648548001</v>
      </c>
      <c r="P216" s="112"/>
      <c r="Q216" s="213" t="s">
        <v>5380</v>
      </c>
      <c r="R216" s="213" t="s">
        <v>5570</v>
      </c>
      <c r="S216" s="240">
        <v>-48150</v>
      </c>
      <c r="T216" s="210" t="s">
        <v>4768</v>
      </c>
      <c r="U216" s="210">
        <v>-9176</v>
      </c>
      <c r="V216" s="111">
        <v>273.79649999999998</v>
      </c>
      <c r="W216" s="111">
        <f t="shared" si="62"/>
        <v>-2512356.6839999999</v>
      </c>
      <c r="X216" s="97" t="s">
        <v>452</v>
      </c>
      <c r="AH216" s="97">
        <v>196</v>
      </c>
      <c r="AI216" s="111" t="s">
        <v>5268</v>
      </c>
      <c r="AJ216" s="111">
        <v>20000000</v>
      </c>
      <c r="AK216" s="97">
        <v>0</v>
      </c>
      <c r="AL216" s="20">
        <f t="shared" si="71"/>
        <v>354</v>
      </c>
      <c r="AM216" s="115">
        <f t="shared" si="72"/>
        <v>7080000000</v>
      </c>
      <c r="AN216" s="20" t="s">
        <v>4687</v>
      </c>
      <c r="AR216" t="s">
        <v>25</v>
      </c>
    </row>
    <row r="217" spans="6:46">
      <c r="G217" s="210" t="s">
        <v>5515</v>
      </c>
      <c r="H217" s="1">
        <v>12297318</v>
      </c>
      <c r="I217" t="s">
        <v>25</v>
      </c>
      <c r="P217" s="112"/>
      <c r="Q217" s="19" t="s">
        <v>5581</v>
      </c>
      <c r="R217" s="19" t="s">
        <v>5578</v>
      </c>
      <c r="S217" s="115">
        <v>3123901.3702000002</v>
      </c>
      <c r="T217" s="210" t="s">
        <v>4768</v>
      </c>
      <c r="U217" s="210">
        <v>1087</v>
      </c>
      <c r="V217" s="111">
        <v>273.79649999999998</v>
      </c>
      <c r="W217" s="111">
        <f t="shared" si="62"/>
        <v>297616.79550000001</v>
      </c>
      <c r="X217" s="97" t="s">
        <v>452</v>
      </c>
      <c r="AH217" s="97">
        <v>197</v>
      </c>
      <c r="AI217" s="111" t="s">
        <v>5268</v>
      </c>
      <c r="AJ217" s="111">
        <v>-4700000</v>
      </c>
      <c r="AK217" s="97">
        <v>1</v>
      </c>
      <c r="AL217" s="20">
        <f t="shared" si="71"/>
        <v>354</v>
      </c>
      <c r="AM217" s="115">
        <f t="shared" si="72"/>
        <v>-1663800000</v>
      </c>
      <c r="AN217" s="20"/>
    </row>
    <row r="218" spans="6:46">
      <c r="G218" s="210" t="s">
        <v>5516</v>
      </c>
      <c r="H218" s="1">
        <v>8959644</v>
      </c>
      <c r="P218" s="112"/>
      <c r="Q218" s="213" t="s">
        <v>5380</v>
      </c>
      <c r="R218" s="213" t="s">
        <v>5592</v>
      </c>
      <c r="S218" s="240">
        <v>-50000</v>
      </c>
      <c r="T218" s="210" t="s">
        <v>966</v>
      </c>
      <c r="U218" s="210">
        <v>-4017</v>
      </c>
      <c r="V218" s="111">
        <v>273.79649999999998</v>
      </c>
      <c r="W218" s="111">
        <f t="shared" si="62"/>
        <v>-1099840.5404999999</v>
      </c>
      <c r="X218" s="97" t="s">
        <v>4409</v>
      </c>
      <c r="AH218" s="97">
        <v>198</v>
      </c>
      <c r="AI218" s="111" t="s">
        <v>5271</v>
      </c>
      <c r="AJ218" s="111">
        <v>3000000</v>
      </c>
      <c r="AK218" s="97">
        <v>4</v>
      </c>
      <c r="AL218" s="20">
        <f t="shared" si="71"/>
        <v>353</v>
      </c>
      <c r="AM218" s="115">
        <f t="shared" si="72"/>
        <v>1059000000</v>
      </c>
      <c r="AN218" s="20"/>
      <c r="AS218" t="s">
        <v>25</v>
      </c>
    </row>
    <row r="219" spans="6:46">
      <c r="G219" s="210" t="s">
        <v>5517</v>
      </c>
      <c r="H219" s="111">
        <v>15154095.839328</v>
      </c>
      <c r="P219" s="112"/>
      <c r="Q219" s="213" t="s">
        <v>5380</v>
      </c>
      <c r="R219" s="213" t="s">
        <v>5597</v>
      </c>
      <c r="S219" s="240">
        <v>-120000</v>
      </c>
      <c r="T219" s="210" t="s">
        <v>966</v>
      </c>
      <c r="U219" s="210">
        <v>4017</v>
      </c>
      <c r="V219" s="111">
        <v>273.79649999999998</v>
      </c>
      <c r="W219" s="111">
        <f t="shared" si="62"/>
        <v>1099840.5404999999</v>
      </c>
      <c r="X219" s="97" t="s">
        <v>452</v>
      </c>
      <c r="AH219" s="97">
        <v>199</v>
      </c>
      <c r="AI219" s="111" t="s">
        <v>5273</v>
      </c>
      <c r="AJ219" s="111">
        <v>1500000</v>
      </c>
      <c r="AK219" s="97">
        <v>1</v>
      </c>
      <c r="AL219" s="20">
        <f t="shared" si="71"/>
        <v>349</v>
      </c>
      <c r="AM219" s="115">
        <f t="shared" si="72"/>
        <v>523500000</v>
      </c>
      <c r="AN219" s="20"/>
    </row>
    <row r="220" spans="6:46">
      <c r="G220" s="210" t="s">
        <v>5522</v>
      </c>
      <c r="H220" s="111">
        <v>4108143</v>
      </c>
      <c r="P220" s="112"/>
      <c r="Q220" s="271" t="s">
        <v>5380</v>
      </c>
      <c r="R220" s="271" t="s">
        <v>5586</v>
      </c>
      <c r="S220" s="92">
        <v>-150000</v>
      </c>
      <c r="T220" s="210" t="s">
        <v>4775</v>
      </c>
      <c r="U220" s="210">
        <v>3137</v>
      </c>
      <c r="V220" s="111">
        <v>283.69110000000001</v>
      </c>
      <c r="W220" s="111">
        <f t="shared" si="62"/>
        <v>889938.98070000007</v>
      </c>
      <c r="X220" s="97" t="s">
        <v>452</v>
      </c>
      <c r="Y220" t="s">
        <v>25</v>
      </c>
      <c r="AH220" s="97">
        <v>200</v>
      </c>
      <c r="AI220" s="111" t="s">
        <v>5275</v>
      </c>
      <c r="AJ220" s="111">
        <v>30000000</v>
      </c>
      <c r="AK220" s="97">
        <v>33</v>
      </c>
      <c r="AL220" s="20">
        <f t="shared" si="71"/>
        <v>348</v>
      </c>
      <c r="AM220" s="115">
        <f t="shared" si="72"/>
        <v>10440000000</v>
      </c>
      <c r="AN220" s="20"/>
    </row>
    <row r="221" spans="6:46">
      <c r="G221" s="210" t="s">
        <v>5528</v>
      </c>
      <c r="H221" s="111">
        <v>6000000</v>
      </c>
      <c r="P221" s="112"/>
      <c r="Q221" s="271" t="s">
        <v>5380</v>
      </c>
      <c r="R221" s="271" t="s">
        <v>5608</v>
      </c>
      <c r="S221" s="92">
        <v>-200000</v>
      </c>
      <c r="T221" s="210" t="s">
        <v>4788</v>
      </c>
      <c r="U221" s="210">
        <v>101933</v>
      </c>
      <c r="V221" s="111">
        <v>294.30973999999998</v>
      </c>
      <c r="W221" s="111">
        <f t="shared" si="62"/>
        <v>29999874.727419998</v>
      </c>
      <c r="X221" s="97" t="s">
        <v>1071</v>
      </c>
      <c r="Y221" t="s">
        <v>25</v>
      </c>
      <c r="AH221" s="97">
        <v>201</v>
      </c>
      <c r="AI221" s="111" t="s">
        <v>5350</v>
      </c>
      <c r="AJ221" s="111">
        <v>3000000</v>
      </c>
      <c r="AK221" s="97">
        <v>1</v>
      </c>
      <c r="AL221" s="20">
        <f t="shared" si="71"/>
        <v>315</v>
      </c>
      <c r="AM221" s="115">
        <f t="shared" si="72"/>
        <v>945000000</v>
      </c>
      <c r="AN221" s="20"/>
    </row>
    <row r="222" spans="6:46">
      <c r="G222" s="210" t="s">
        <v>5532</v>
      </c>
      <c r="H222" s="111">
        <v>8301786</v>
      </c>
      <c r="I222" t="s">
        <v>25</v>
      </c>
      <c r="J222" t="s">
        <v>25</v>
      </c>
      <c r="P222" s="112"/>
      <c r="Q222" s="271" t="s">
        <v>5380</v>
      </c>
      <c r="R222" s="271" t="s">
        <v>5613</v>
      </c>
      <c r="S222" s="92">
        <v>-120000</v>
      </c>
      <c r="T222" s="210" t="s">
        <v>4795</v>
      </c>
      <c r="U222" s="210">
        <v>3407</v>
      </c>
      <c r="V222" s="111">
        <v>293.43799999999999</v>
      </c>
      <c r="W222" s="111">
        <f t="shared" si="62"/>
        <v>999743.26599999995</v>
      </c>
      <c r="X222" s="97" t="s">
        <v>452</v>
      </c>
      <c r="AH222" s="97">
        <v>202</v>
      </c>
      <c r="AI222" s="111" t="s">
        <v>5351</v>
      </c>
      <c r="AJ222" s="111">
        <v>7000000</v>
      </c>
      <c r="AK222" s="97">
        <v>4</v>
      </c>
      <c r="AL222" s="20">
        <f t="shared" si="71"/>
        <v>314</v>
      </c>
      <c r="AM222" s="115">
        <f t="shared" si="72"/>
        <v>2198000000</v>
      </c>
      <c r="AN222" s="20"/>
    </row>
    <row r="223" spans="6:46">
      <c r="G223" s="210" t="s">
        <v>5536</v>
      </c>
      <c r="H223" s="111">
        <v>50725508.571864001</v>
      </c>
      <c r="J223" t="s">
        <v>25</v>
      </c>
      <c r="P223" s="112"/>
      <c r="Q223" s="271" t="s">
        <v>5380</v>
      </c>
      <c r="R223" s="271" t="s">
        <v>5653</v>
      </c>
      <c r="S223" s="92">
        <v>-6000000</v>
      </c>
      <c r="T223" s="210" t="s">
        <v>4796</v>
      </c>
      <c r="U223" s="210">
        <v>68796</v>
      </c>
      <c r="V223" s="111">
        <v>293.53250000000003</v>
      </c>
      <c r="W223" s="111">
        <f t="shared" si="62"/>
        <v>20193861.870000001</v>
      </c>
      <c r="X223" s="97" t="s">
        <v>744</v>
      </c>
      <c r="AH223" s="97">
        <v>203</v>
      </c>
      <c r="AI223" s="111" t="s">
        <v>5364</v>
      </c>
      <c r="AJ223" s="111">
        <v>8800000</v>
      </c>
      <c r="AK223" s="97">
        <v>2</v>
      </c>
      <c r="AL223" s="20">
        <f t="shared" si="71"/>
        <v>310</v>
      </c>
      <c r="AM223" s="115">
        <f t="shared" si="72"/>
        <v>2728000000</v>
      </c>
      <c r="AN223" s="20"/>
    </row>
    <row r="224" spans="6:46" ht="28.5" customHeight="1">
      <c r="F224" s="94"/>
      <c r="G224" s="210" t="s">
        <v>5537</v>
      </c>
      <c r="H224" s="111">
        <v>2281961.458596</v>
      </c>
      <c r="P224" s="112"/>
      <c r="Q224" s="19" t="s">
        <v>4960</v>
      </c>
      <c r="R224" s="19" t="s">
        <v>5653</v>
      </c>
      <c r="S224" s="115">
        <v>-1500000</v>
      </c>
      <c r="T224" s="210" t="s">
        <v>4796</v>
      </c>
      <c r="U224" s="210">
        <v>154791</v>
      </c>
      <c r="V224" s="111">
        <v>293.53250000000003</v>
      </c>
      <c r="W224" s="111">
        <f t="shared" si="62"/>
        <v>45436189.207500003</v>
      </c>
      <c r="X224" s="97" t="s">
        <v>452</v>
      </c>
      <c r="AH224" s="97">
        <v>204</v>
      </c>
      <c r="AI224" s="111" t="s">
        <v>5369</v>
      </c>
      <c r="AJ224" s="111">
        <v>40000000</v>
      </c>
      <c r="AK224" s="97">
        <v>8</v>
      </c>
      <c r="AL224" s="20">
        <f t="shared" si="71"/>
        <v>308</v>
      </c>
      <c r="AM224" s="115">
        <f t="shared" si="72"/>
        <v>12320000000</v>
      </c>
      <c r="AN224" s="20" t="s">
        <v>4687</v>
      </c>
    </row>
    <row r="225" spans="4:45">
      <c r="F225" s="94"/>
      <c r="G225" s="210" t="s">
        <v>5544</v>
      </c>
      <c r="H225" s="111">
        <v>10998285</v>
      </c>
      <c r="K225" t="s">
        <v>25</v>
      </c>
      <c r="Q225" s="187" t="s">
        <v>5668</v>
      </c>
      <c r="R225" s="187" t="s">
        <v>5653</v>
      </c>
      <c r="S225" s="186">
        <v>15000000</v>
      </c>
      <c r="T225" s="210" t="s">
        <v>4796</v>
      </c>
      <c r="U225" s="210">
        <v>-11923</v>
      </c>
      <c r="V225" s="111">
        <v>293.53250000000003</v>
      </c>
      <c r="W225" s="111">
        <f t="shared" si="62"/>
        <v>-3499787.9975000005</v>
      </c>
      <c r="X225" s="97" t="s">
        <v>452</v>
      </c>
      <c r="AH225" s="97">
        <v>205</v>
      </c>
      <c r="AI225" s="111" t="s">
        <v>5384</v>
      </c>
      <c r="AJ225" s="111">
        <v>400000</v>
      </c>
      <c r="AK225" s="97">
        <v>17</v>
      </c>
      <c r="AL225" s="20">
        <f t="shared" si="71"/>
        <v>300</v>
      </c>
      <c r="AM225" s="115">
        <f t="shared" si="72"/>
        <v>120000000</v>
      </c>
      <c r="AN225" s="20"/>
      <c r="AR225" t="s">
        <v>25</v>
      </c>
    </row>
    <row r="226" spans="4:45">
      <c r="F226" s="94"/>
      <c r="G226" s="210" t="s">
        <v>5545</v>
      </c>
      <c r="H226" s="111">
        <v>983018.96187300002</v>
      </c>
      <c r="J226" t="s">
        <v>25</v>
      </c>
      <c r="Q226" s="187" t="s">
        <v>5685</v>
      </c>
      <c r="R226" s="187" t="s">
        <v>5679</v>
      </c>
      <c r="S226" s="186">
        <v>-1500000</v>
      </c>
      <c r="T226" s="210" t="s">
        <v>4808</v>
      </c>
      <c r="U226" s="210">
        <v>8424</v>
      </c>
      <c r="V226" s="111">
        <v>299.15170000000001</v>
      </c>
      <c r="W226" s="111">
        <f t="shared" si="62"/>
        <v>2520053.9208</v>
      </c>
      <c r="X226" s="97" t="s">
        <v>452</v>
      </c>
      <c r="AH226" s="97">
        <v>206</v>
      </c>
      <c r="AI226" s="111" t="s">
        <v>5404</v>
      </c>
      <c r="AJ226" s="111">
        <v>-20000000</v>
      </c>
      <c r="AK226" s="97">
        <v>18</v>
      </c>
      <c r="AL226" s="20">
        <f t="shared" si="71"/>
        <v>283</v>
      </c>
      <c r="AM226" s="115">
        <f t="shared" si="72"/>
        <v>-5660000000</v>
      </c>
      <c r="AN226" s="20" t="s">
        <v>4985</v>
      </c>
    </row>
    <row r="227" spans="4:45">
      <c r="D227" s="94"/>
      <c r="E227" s="94"/>
      <c r="F227" s="94"/>
      <c r="G227" s="210" t="s">
        <v>5547</v>
      </c>
      <c r="H227" s="111">
        <v>17049271.032000002</v>
      </c>
      <c r="I227" s="94"/>
      <c r="J227" t="s">
        <v>25</v>
      </c>
      <c r="P227" s="112"/>
      <c r="Q227" s="187" t="s">
        <v>5773</v>
      </c>
      <c r="R227" s="187" t="s">
        <v>5770</v>
      </c>
      <c r="S227" s="186">
        <v>-70000</v>
      </c>
      <c r="T227" s="210" t="s">
        <v>4843</v>
      </c>
      <c r="U227" s="210">
        <v>15943</v>
      </c>
      <c r="V227" s="111">
        <v>307.34415000000001</v>
      </c>
      <c r="W227" s="111">
        <f t="shared" si="62"/>
        <v>4899987.78345</v>
      </c>
      <c r="X227" s="97" t="s">
        <v>452</v>
      </c>
      <c r="AH227" s="97">
        <v>207</v>
      </c>
      <c r="AI227" s="111" t="s">
        <v>5418</v>
      </c>
      <c r="AJ227" s="111">
        <v>3006000</v>
      </c>
      <c r="AK227" s="97">
        <v>19</v>
      </c>
      <c r="AL227" s="20">
        <f t="shared" si="71"/>
        <v>265</v>
      </c>
      <c r="AM227" s="115">
        <f t="shared" si="72"/>
        <v>796590000</v>
      </c>
      <c r="AN227" s="20"/>
    </row>
    <row r="228" spans="4:45">
      <c r="D228" s="94"/>
      <c r="E228" s="94"/>
      <c r="F228" s="94"/>
      <c r="G228" s="210" t="s">
        <v>5550</v>
      </c>
      <c r="H228" s="111">
        <v>6829998</v>
      </c>
      <c r="I228" s="94"/>
      <c r="P228" s="112"/>
      <c r="Q228" s="187" t="s">
        <v>5781</v>
      </c>
      <c r="R228" s="187" t="s">
        <v>5777</v>
      </c>
      <c r="S228" s="186">
        <v>1300000</v>
      </c>
      <c r="T228" s="210" t="s">
        <v>4861</v>
      </c>
      <c r="U228" s="210">
        <v>3741</v>
      </c>
      <c r="V228" s="111">
        <v>307.34415000000001</v>
      </c>
      <c r="W228" s="111">
        <f t="shared" si="62"/>
        <v>1149774.4651500001</v>
      </c>
      <c r="X228" s="97" t="s">
        <v>452</v>
      </c>
      <c r="Z228" t="s">
        <v>25</v>
      </c>
      <c r="AH228" s="97">
        <v>208</v>
      </c>
      <c r="AI228" s="111" t="s">
        <v>5312</v>
      </c>
      <c r="AJ228" s="111">
        <v>-130382924</v>
      </c>
      <c r="AK228" s="97">
        <v>0</v>
      </c>
      <c r="AL228" s="20">
        <f t="shared" si="71"/>
        <v>246</v>
      </c>
      <c r="AM228" s="115">
        <f t="shared" si="72"/>
        <v>-32074199304</v>
      </c>
      <c r="AN228" s="20" t="s">
        <v>5442</v>
      </c>
      <c r="AR228" t="s">
        <v>25</v>
      </c>
    </row>
    <row r="229" spans="4:45">
      <c r="D229" s="94"/>
      <c r="E229" s="94"/>
      <c r="F229" s="94"/>
      <c r="G229" s="210" t="s">
        <v>4212</v>
      </c>
      <c r="H229" s="111">
        <v>6982608.8207999999</v>
      </c>
      <c r="I229" s="94"/>
      <c r="Q229" s="187" t="s">
        <v>60</v>
      </c>
      <c r="R229" s="187" t="s">
        <v>5790</v>
      </c>
      <c r="S229" s="186">
        <v>90000000</v>
      </c>
      <c r="T229" s="210" t="s">
        <v>4866</v>
      </c>
      <c r="U229" s="210">
        <v>-6207</v>
      </c>
      <c r="V229" s="111">
        <v>322.214</v>
      </c>
      <c r="W229" s="111">
        <f t="shared" si="62"/>
        <v>-1999982.298</v>
      </c>
      <c r="X229" s="97" t="s">
        <v>744</v>
      </c>
      <c r="AH229" s="97">
        <v>209</v>
      </c>
      <c r="AI229" s="111" t="s">
        <v>5312</v>
      </c>
      <c r="AJ229" s="111">
        <v>125000000</v>
      </c>
      <c r="AK229" s="97">
        <v>1</v>
      </c>
      <c r="AL229" s="20">
        <f t="shared" si="71"/>
        <v>246</v>
      </c>
      <c r="AM229" s="115">
        <f t="shared" si="72"/>
        <v>30750000000</v>
      </c>
      <c r="AN229" s="20"/>
      <c r="AR229" t="s">
        <v>25</v>
      </c>
    </row>
    <row r="230" spans="4:45">
      <c r="D230" s="94"/>
      <c r="E230" s="94"/>
      <c r="F230" s="94"/>
      <c r="G230" s="210" t="s">
        <v>5572</v>
      </c>
      <c r="H230" s="111">
        <v>7510131.0216000006</v>
      </c>
      <c r="I230" s="94"/>
      <c r="J230" t="s">
        <v>25</v>
      </c>
      <c r="Q230" s="187" t="s">
        <v>5896</v>
      </c>
      <c r="R230" s="187" t="s">
        <v>5891</v>
      </c>
      <c r="S230" s="186">
        <v>33832510.64875</v>
      </c>
      <c r="T230" s="210" t="s">
        <v>4866</v>
      </c>
      <c r="U230" s="210">
        <v>6207</v>
      </c>
      <c r="V230" s="111">
        <v>322.214</v>
      </c>
      <c r="W230" s="111">
        <f t="shared" si="62"/>
        <v>1999982.298</v>
      </c>
      <c r="X230" s="97" t="s">
        <v>4409</v>
      </c>
      <c r="AH230" s="97">
        <v>210</v>
      </c>
      <c r="AI230" s="111" t="s">
        <v>5441</v>
      </c>
      <c r="AJ230" s="111">
        <v>7200000</v>
      </c>
      <c r="AK230" s="97">
        <v>15</v>
      </c>
      <c r="AL230" s="20">
        <f t="shared" si="71"/>
        <v>245</v>
      </c>
      <c r="AM230" s="115">
        <f t="shared" si="72"/>
        <v>1764000000</v>
      </c>
      <c r="AN230" s="20"/>
      <c r="AQ230" t="s">
        <v>25</v>
      </c>
      <c r="AS230" t="s">
        <v>25</v>
      </c>
    </row>
    <row r="231" spans="4:45">
      <c r="D231" s="94"/>
      <c r="E231" s="94"/>
      <c r="G231" s="210" t="s">
        <v>5578</v>
      </c>
      <c r="H231" s="111">
        <v>10397191</v>
      </c>
      <c r="J231" t="s">
        <v>25</v>
      </c>
      <c r="K231" t="s">
        <v>25</v>
      </c>
      <c r="Q231" s="187" t="s">
        <v>5953</v>
      </c>
      <c r="R231" s="187" t="s">
        <v>5943</v>
      </c>
      <c r="S231" s="186">
        <v>21634932</v>
      </c>
      <c r="T231" s="210" t="s">
        <v>4815</v>
      </c>
      <c r="U231" s="210">
        <v>776</v>
      </c>
      <c r="V231" s="111">
        <v>322.214</v>
      </c>
      <c r="W231" s="111">
        <f t="shared" si="62"/>
        <v>250038.06400000001</v>
      </c>
      <c r="X231" s="97" t="s">
        <v>452</v>
      </c>
      <c r="AH231" s="97">
        <v>211</v>
      </c>
      <c r="AI231" s="111" t="s">
        <v>5462</v>
      </c>
      <c r="AJ231" s="111">
        <v>2050000</v>
      </c>
      <c r="AK231" s="97">
        <v>7</v>
      </c>
      <c r="AL231" s="20">
        <f t="shared" si="71"/>
        <v>230</v>
      </c>
      <c r="AM231" s="115">
        <f t="shared" si="72"/>
        <v>471500000</v>
      </c>
      <c r="AN231" s="20"/>
      <c r="AR231" t="s">
        <v>25</v>
      </c>
      <c r="AS231" t="s">
        <v>25</v>
      </c>
    </row>
    <row r="232" spans="4:45">
      <c r="D232" s="94"/>
      <c r="E232" s="94"/>
      <c r="G232" s="210" t="s">
        <v>5587</v>
      </c>
      <c r="H232" s="111">
        <v>195059.35799999998</v>
      </c>
      <c r="J232" t="s">
        <v>25</v>
      </c>
      <c r="Q232" s="187"/>
      <c r="R232" s="187"/>
      <c r="S232" s="186"/>
      <c r="T232" s="210" t="s">
        <v>4889</v>
      </c>
      <c r="U232" s="210">
        <v>1524</v>
      </c>
      <c r="V232" s="111">
        <v>314.95999999999998</v>
      </c>
      <c r="W232" s="111">
        <f t="shared" si="62"/>
        <v>479999.04</v>
      </c>
      <c r="X232" s="97" t="s">
        <v>1071</v>
      </c>
      <c r="AH232" s="97">
        <v>212</v>
      </c>
      <c r="AI232" s="111" t="s">
        <v>5483</v>
      </c>
      <c r="AJ232" s="111">
        <v>50000000</v>
      </c>
      <c r="AK232" s="97">
        <v>24</v>
      </c>
      <c r="AL232" s="20">
        <f t="shared" si="71"/>
        <v>223</v>
      </c>
      <c r="AM232" s="115">
        <f t="shared" si="72"/>
        <v>11150000000</v>
      </c>
      <c r="AN232" s="20" t="s">
        <v>4687</v>
      </c>
    </row>
    <row r="233" spans="4:45">
      <c r="D233" s="94"/>
      <c r="E233" s="94"/>
      <c r="G233" s="210" t="s">
        <v>5592</v>
      </c>
      <c r="H233" s="111">
        <v>744082</v>
      </c>
      <c r="Q233" s="19"/>
      <c r="R233" s="19"/>
      <c r="S233" s="115"/>
      <c r="T233" s="210" t="s">
        <v>4896</v>
      </c>
      <c r="U233" s="210">
        <v>4435</v>
      </c>
      <c r="V233" s="111">
        <v>316.4375</v>
      </c>
      <c r="W233" s="111">
        <f t="shared" si="62"/>
        <v>1403400.3125</v>
      </c>
      <c r="X233" s="97" t="s">
        <v>452</v>
      </c>
      <c r="AH233" s="97">
        <v>213</v>
      </c>
      <c r="AI233" s="111" t="s">
        <v>5528</v>
      </c>
      <c r="AJ233" s="111">
        <v>-58196600</v>
      </c>
      <c r="AK233" s="97">
        <v>22</v>
      </c>
      <c r="AL233" s="20">
        <f t="shared" si="71"/>
        <v>199</v>
      </c>
      <c r="AM233" s="115">
        <f t="shared" si="72"/>
        <v>-11581123400</v>
      </c>
      <c r="AN233" s="20" t="s">
        <v>4875</v>
      </c>
    </row>
    <row r="234" spans="4:45">
      <c r="G234" s="210" t="s">
        <v>5594</v>
      </c>
      <c r="H234" s="111">
        <v>920308.446</v>
      </c>
      <c r="Q234" s="210" t="s">
        <v>25</v>
      </c>
      <c r="R234" s="210"/>
      <c r="S234" s="111"/>
      <c r="T234" s="210" t="s">
        <v>4899</v>
      </c>
      <c r="U234" s="210">
        <v>624</v>
      </c>
      <c r="V234" s="111">
        <v>320.5</v>
      </c>
      <c r="W234" s="111">
        <f t="shared" si="62"/>
        <v>199992</v>
      </c>
      <c r="X234" s="97" t="s">
        <v>452</v>
      </c>
      <c r="AH234" s="97">
        <v>214</v>
      </c>
      <c r="AI234" s="111" t="s">
        <v>5570</v>
      </c>
      <c r="AJ234" s="111">
        <v>25000</v>
      </c>
      <c r="AK234" s="97">
        <v>8</v>
      </c>
      <c r="AL234" s="20">
        <f t="shared" si="71"/>
        <v>177</v>
      </c>
      <c r="AM234" s="115">
        <f t="shared" si="72"/>
        <v>4425000</v>
      </c>
      <c r="AN234" s="20"/>
    </row>
    <row r="235" spans="4:45">
      <c r="G235" s="210" t="s">
        <v>5595</v>
      </c>
      <c r="H235" s="111">
        <v>4635809.8416840006</v>
      </c>
      <c r="Q235" s="210"/>
      <c r="R235" s="210"/>
      <c r="S235" s="111">
        <f>SUM(S187:S234)</f>
        <v>134880808.34175</v>
      </c>
      <c r="T235" s="210" t="s">
        <v>4904</v>
      </c>
      <c r="U235" s="210">
        <v>1086</v>
      </c>
      <c r="V235" s="111">
        <v>317.55</v>
      </c>
      <c r="W235" s="111">
        <f t="shared" si="62"/>
        <v>344859.3</v>
      </c>
      <c r="X235" s="97" t="s">
        <v>452</v>
      </c>
      <c r="AH235" s="97">
        <v>215</v>
      </c>
      <c r="AI235" s="111" t="s">
        <v>5592</v>
      </c>
      <c r="AJ235" s="111">
        <v>70000</v>
      </c>
      <c r="AK235" s="97">
        <v>6</v>
      </c>
      <c r="AL235" s="20">
        <f t="shared" si="71"/>
        <v>169</v>
      </c>
      <c r="AM235" s="115">
        <f t="shared" si="72"/>
        <v>11830000</v>
      </c>
      <c r="AN235" s="20"/>
    </row>
    <row r="236" spans="4:45">
      <c r="G236" s="210" t="s">
        <v>5625</v>
      </c>
      <c r="H236" s="111">
        <v>58508002.009000003</v>
      </c>
      <c r="J236" t="s">
        <v>25</v>
      </c>
      <c r="K236" t="s">
        <v>25</v>
      </c>
      <c r="Q236" s="41"/>
      <c r="R236" s="210"/>
      <c r="S236" s="210" t="s">
        <v>6</v>
      </c>
      <c r="T236" s="210" t="s">
        <v>4909</v>
      </c>
      <c r="U236" s="210">
        <v>2820</v>
      </c>
      <c r="V236" s="111">
        <v>319.1096</v>
      </c>
      <c r="W236" s="111">
        <f t="shared" si="62"/>
        <v>899889.07200000004</v>
      </c>
      <c r="X236" s="97" t="s">
        <v>452</v>
      </c>
      <c r="AH236" s="97">
        <v>216</v>
      </c>
      <c r="AI236" s="111" t="s">
        <v>5597</v>
      </c>
      <c r="AJ236" s="111">
        <v>70000</v>
      </c>
      <c r="AK236" s="97">
        <v>1</v>
      </c>
      <c r="AL236" s="20">
        <f t="shared" si="71"/>
        <v>163</v>
      </c>
      <c r="AM236" s="115">
        <f t="shared" si="72"/>
        <v>11410000</v>
      </c>
      <c r="AN236" s="20"/>
      <c r="AR236" t="s">
        <v>25</v>
      </c>
    </row>
    <row r="237" spans="4:45">
      <c r="G237" s="210" t="s">
        <v>5627</v>
      </c>
      <c r="H237" s="111">
        <v>2245515.5410799999</v>
      </c>
      <c r="J237" t="s">
        <v>25</v>
      </c>
      <c r="Q237" s="94"/>
      <c r="T237" s="210" t="s">
        <v>4912</v>
      </c>
      <c r="U237" s="210">
        <v>1145</v>
      </c>
      <c r="V237" s="111">
        <v>325.44</v>
      </c>
      <c r="W237" s="111">
        <f t="shared" si="62"/>
        <v>372628.8</v>
      </c>
      <c r="X237" s="97" t="s">
        <v>452</v>
      </c>
      <c r="Y237" t="s">
        <v>25</v>
      </c>
      <c r="AH237" s="97">
        <v>217</v>
      </c>
      <c r="AI237" s="111" t="s">
        <v>5586</v>
      </c>
      <c r="AJ237" s="111">
        <v>150000</v>
      </c>
      <c r="AK237" s="97">
        <v>0</v>
      </c>
      <c r="AL237" s="20">
        <f t="shared" si="71"/>
        <v>162</v>
      </c>
      <c r="AM237" s="115">
        <f t="shared" si="72"/>
        <v>24300000</v>
      </c>
      <c r="AN237" s="20"/>
      <c r="AQ237" t="s">
        <v>25</v>
      </c>
      <c r="AS237" t="s">
        <v>25</v>
      </c>
    </row>
    <row r="238" spans="4:45">
      <c r="G238" s="210" t="s">
        <v>5629</v>
      </c>
      <c r="H238" s="111">
        <v>18404699.3442</v>
      </c>
      <c r="Q238" s="94" t="s">
        <v>25</v>
      </c>
      <c r="R238" s="94" t="s">
        <v>25</v>
      </c>
      <c r="T238" s="210" t="s">
        <v>4920</v>
      </c>
      <c r="U238" s="210">
        <v>20153</v>
      </c>
      <c r="V238" s="111">
        <v>322</v>
      </c>
      <c r="W238" s="111">
        <f t="shared" si="62"/>
        <v>6489266</v>
      </c>
      <c r="X238" s="97" t="s">
        <v>452</v>
      </c>
      <c r="AH238" s="97">
        <v>218</v>
      </c>
      <c r="AI238" s="111" t="s">
        <v>5586</v>
      </c>
      <c r="AJ238" s="111">
        <v>-95599450</v>
      </c>
      <c r="AK238" s="97">
        <v>7</v>
      </c>
      <c r="AL238" s="20">
        <f t="shared" si="71"/>
        <v>162</v>
      </c>
      <c r="AM238" s="115">
        <f t="shared" si="72"/>
        <v>-15487110900</v>
      </c>
      <c r="AN238" s="20" t="s">
        <v>5600</v>
      </c>
      <c r="AR238" t="s">
        <v>25</v>
      </c>
    </row>
    <row r="239" spans="4:45">
      <c r="G239" s="210" t="s">
        <v>5632</v>
      </c>
      <c r="H239" s="111">
        <v>2264658.5922190002</v>
      </c>
      <c r="Q239" s="94" t="s">
        <v>25</v>
      </c>
      <c r="R239" s="94" t="s">
        <v>25</v>
      </c>
      <c r="S239" t="s">
        <v>25</v>
      </c>
      <c r="T239" s="210" t="s">
        <v>4930</v>
      </c>
      <c r="U239" s="210">
        <v>93720</v>
      </c>
      <c r="V239" s="111">
        <v>325.435</v>
      </c>
      <c r="W239" s="111">
        <f t="shared" si="62"/>
        <v>30499768.199999999</v>
      </c>
      <c r="X239" s="97" t="s">
        <v>1071</v>
      </c>
      <c r="AH239" s="97">
        <v>219</v>
      </c>
      <c r="AI239" s="111" t="s">
        <v>5608</v>
      </c>
      <c r="AJ239" s="111">
        <v>200000</v>
      </c>
      <c r="AK239" s="97">
        <v>7</v>
      </c>
      <c r="AL239" s="20">
        <f t="shared" si="71"/>
        <v>155</v>
      </c>
      <c r="AM239" s="115">
        <f t="shared" si="72"/>
        <v>31000000</v>
      </c>
      <c r="AN239" s="20"/>
      <c r="AR239" t="s">
        <v>25</v>
      </c>
    </row>
    <row r="240" spans="4:45">
      <c r="G240" s="210" t="s">
        <v>5634</v>
      </c>
      <c r="H240" s="111">
        <v>22877413.789960001</v>
      </c>
      <c r="S240" t="s">
        <v>25</v>
      </c>
      <c r="T240" s="210" t="s">
        <v>4930</v>
      </c>
      <c r="U240" s="210">
        <v>20895</v>
      </c>
      <c r="V240" s="111">
        <v>325.435</v>
      </c>
      <c r="W240" s="111">
        <f t="shared" si="62"/>
        <v>6799964.3250000002</v>
      </c>
      <c r="X240" s="97" t="s">
        <v>744</v>
      </c>
      <c r="AH240" s="97">
        <v>220</v>
      </c>
      <c r="AI240" s="111" t="s">
        <v>5613</v>
      </c>
      <c r="AJ240" s="111">
        <v>150000</v>
      </c>
      <c r="AK240" s="97">
        <v>5</v>
      </c>
      <c r="AL240" s="20">
        <f t="shared" si="71"/>
        <v>148</v>
      </c>
      <c r="AM240" s="115">
        <f t="shared" si="72"/>
        <v>22200000</v>
      </c>
      <c r="AN240" s="20"/>
    </row>
    <row r="241" spans="7:46">
      <c r="G241" s="210" t="s">
        <v>5637</v>
      </c>
      <c r="H241" s="111">
        <v>2362539.4373280001</v>
      </c>
      <c r="Q241" s="97" t="s">
        <v>744</v>
      </c>
      <c r="R241" s="97"/>
      <c r="S241" t="s">
        <v>25</v>
      </c>
      <c r="T241" s="210" t="s">
        <v>4939</v>
      </c>
      <c r="U241" s="210">
        <v>2611</v>
      </c>
      <c r="V241" s="111">
        <v>325.435</v>
      </c>
      <c r="W241" s="111">
        <f t="shared" si="62"/>
        <v>849710.78500000003</v>
      </c>
      <c r="X241" s="97" t="s">
        <v>744</v>
      </c>
      <c r="AA241" t="s">
        <v>25</v>
      </c>
      <c r="AH241" s="97">
        <v>221</v>
      </c>
      <c r="AI241" s="111" t="s">
        <v>5617</v>
      </c>
      <c r="AJ241" s="111">
        <v>310000</v>
      </c>
      <c r="AK241" s="97">
        <v>31</v>
      </c>
      <c r="AL241" s="20">
        <f t="shared" si="71"/>
        <v>143</v>
      </c>
      <c r="AM241" s="115">
        <f t="shared" si="72"/>
        <v>44330000</v>
      </c>
      <c r="AN241" s="20"/>
      <c r="AR241" t="s">
        <v>25</v>
      </c>
    </row>
    <row r="242" spans="7:46">
      <c r="G242" s="210" t="s">
        <v>5638</v>
      </c>
      <c r="H242" s="111">
        <v>16042676.656608</v>
      </c>
      <c r="Q242" s="97" t="s">
        <v>4402</v>
      </c>
      <c r="R242" s="93">
        <v>172908000</v>
      </c>
      <c r="T242" s="210" t="s">
        <v>4947</v>
      </c>
      <c r="U242" s="210">
        <v>6750</v>
      </c>
      <c r="V242" s="111">
        <v>339.3</v>
      </c>
      <c r="W242" s="111">
        <f t="shared" si="62"/>
        <v>2290275</v>
      </c>
      <c r="X242" s="97" t="s">
        <v>744</v>
      </c>
      <c r="AH242" s="97">
        <v>222</v>
      </c>
      <c r="AI242" s="111" t="s">
        <v>5653</v>
      </c>
      <c r="AJ242" s="111">
        <v>4200000</v>
      </c>
      <c r="AK242" s="97">
        <v>53</v>
      </c>
      <c r="AL242" s="20">
        <f t="shared" si="71"/>
        <v>112</v>
      </c>
      <c r="AM242" s="115">
        <f t="shared" si="72"/>
        <v>470400000</v>
      </c>
      <c r="AN242" s="20"/>
      <c r="AT242" s="94" t="s">
        <v>25</v>
      </c>
    </row>
    <row r="243" spans="7:46">
      <c r="G243" s="210" t="s">
        <v>5639</v>
      </c>
      <c r="H243" s="111">
        <v>18403291.448284</v>
      </c>
      <c r="J243" t="s">
        <v>25</v>
      </c>
      <c r="Q243" s="97" t="s">
        <v>4435</v>
      </c>
      <c r="R243" s="93">
        <v>1400000</v>
      </c>
      <c r="T243" s="210" t="s">
        <v>4955</v>
      </c>
      <c r="U243" s="210">
        <v>1850</v>
      </c>
      <c r="V243" s="111">
        <v>334.10050000000001</v>
      </c>
      <c r="W243" s="111">
        <f t="shared" si="62"/>
        <v>618085.92500000005</v>
      </c>
      <c r="X243" s="97" t="s">
        <v>452</v>
      </c>
      <c r="Y243" t="s">
        <v>25</v>
      </c>
      <c r="AH243" s="97">
        <v>223</v>
      </c>
      <c r="AI243" s="111" t="s">
        <v>5727</v>
      </c>
      <c r="AJ243" s="111">
        <v>260000000</v>
      </c>
      <c r="AK243" s="97">
        <v>22</v>
      </c>
      <c r="AL243" s="20">
        <f t="shared" si="71"/>
        <v>59</v>
      </c>
      <c r="AM243" s="115">
        <f t="shared" si="72"/>
        <v>15340000000</v>
      </c>
      <c r="AN243" s="20" t="s">
        <v>5729</v>
      </c>
    </row>
    <row r="244" spans="7:46">
      <c r="G244" s="210" t="s">
        <v>5642</v>
      </c>
      <c r="H244" s="111">
        <v>10561447.246918</v>
      </c>
      <c r="J244" t="s">
        <v>25</v>
      </c>
      <c r="Q244" s="97" t="s">
        <v>4208</v>
      </c>
      <c r="R244" s="93">
        <v>247393</v>
      </c>
      <c r="S244" t="s">
        <v>25</v>
      </c>
      <c r="T244" s="210" t="s">
        <v>4955</v>
      </c>
      <c r="U244" s="210">
        <v>-1194</v>
      </c>
      <c r="V244" s="111">
        <v>335</v>
      </c>
      <c r="W244" s="111">
        <f t="shared" si="62"/>
        <v>-399990</v>
      </c>
      <c r="X244" s="97" t="s">
        <v>4409</v>
      </c>
      <c r="Y244" t="s">
        <v>25</v>
      </c>
      <c r="AH244" s="97">
        <v>224</v>
      </c>
      <c r="AI244" s="111" t="s">
        <v>5760</v>
      </c>
      <c r="AJ244" s="111">
        <v>20000</v>
      </c>
      <c r="AK244" s="97">
        <v>7</v>
      </c>
      <c r="AL244" s="20">
        <f t="shared" si="71"/>
        <v>37</v>
      </c>
      <c r="AM244" s="115">
        <f t="shared" si="72"/>
        <v>740000</v>
      </c>
      <c r="AN244" s="20"/>
      <c r="AP244" t="s">
        <v>25</v>
      </c>
    </row>
    <row r="245" spans="7:46">
      <c r="G245" s="210" t="s">
        <v>5643</v>
      </c>
      <c r="H245" s="111">
        <v>1226811.9176660001</v>
      </c>
      <c r="P245" t="s">
        <v>25</v>
      </c>
      <c r="Q245" s="97" t="s">
        <v>4207</v>
      </c>
      <c r="R245" s="93">
        <v>6780000</v>
      </c>
      <c r="T245" s="210" t="s">
        <v>4955</v>
      </c>
      <c r="U245" s="210">
        <v>1194</v>
      </c>
      <c r="V245" s="111">
        <v>335</v>
      </c>
      <c r="W245" s="111">
        <f t="shared" si="62"/>
        <v>399990</v>
      </c>
      <c r="X245" s="97" t="s">
        <v>744</v>
      </c>
      <c r="AH245" s="97">
        <v>225</v>
      </c>
      <c r="AI245" s="111" t="s">
        <v>5770</v>
      </c>
      <c r="AJ245" s="111">
        <v>70000</v>
      </c>
      <c r="AK245" s="97">
        <v>1</v>
      </c>
      <c r="AL245" s="20">
        <f t="shared" si="71"/>
        <v>30</v>
      </c>
      <c r="AM245" s="115">
        <f t="shared" si="72"/>
        <v>2100000</v>
      </c>
      <c r="AN245" s="20"/>
    </row>
    <row r="246" spans="7:46">
      <c r="G246" s="210" t="s">
        <v>5644</v>
      </c>
      <c r="H246" s="111">
        <v>39373959.190266006</v>
      </c>
      <c r="Q246" s="97" t="s">
        <v>4536</v>
      </c>
      <c r="R246" s="93">
        <v>-4000000</v>
      </c>
      <c r="T246" s="210" t="s">
        <v>4962</v>
      </c>
      <c r="U246" s="210">
        <v>433</v>
      </c>
      <c r="V246" s="111">
        <v>345.68</v>
      </c>
      <c r="W246" s="111">
        <f t="shared" si="62"/>
        <v>149679.44</v>
      </c>
      <c r="X246" s="97" t="s">
        <v>744</v>
      </c>
      <c r="AH246" s="97">
        <v>226</v>
      </c>
      <c r="AI246" s="111" t="s">
        <v>5777</v>
      </c>
      <c r="AJ246" s="111">
        <v>330000</v>
      </c>
      <c r="AK246" s="97">
        <v>1</v>
      </c>
      <c r="AL246" s="20">
        <f t="shared" si="71"/>
        <v>29</v>
      </c>
      <c r="AM246" s="115">
        <f t="shared" si="72"/>
        <v>9570000</v>
      </c>
      <c r="AN246" s="20"/>
    </row>
    <row r="247" spans="7:46">
      <c r="G247" s="210" t="s">
        <v>5649</v>
      </c>
      <c r="H247" s="111">
        <v>27703487.063980002</v>
      </c>
      <c r="J247" t="s">
        <v>25</v>
      </c>
      <c r="Q247" s="97" t="s">
        <v>4562</v>
      </c>
      <c r="R247" s="93">
        <v>16727037</v>
      </c>
      <c r="T247" s="210" t="s">
        <v>4966</v>
      </c>
      <c r="U247" s="210">
        <v>55459</v>
      </c>
      <c r="V247" s="111">
        <v>362.51978000000003</v>
      </c>
      <c r="W247" s="111">
        <f t="shared" si="62"/>
        <v>20104984.479020003</v>
      </c>
      <c r="X247" s="97" t="s">
        <v>452</v>
      </c>
      <c r="AH247" s="97">
        <v>227</v>
      </c>
      <c r="AI247" s="111" t="s">
        <v>5891</v>
      </c>
      <c r="AJ247" s="111">
        <v>33833075</v>
      </c>
      <c r="AK247" s="97">
        <v>18</v>
      </c>
      <c r="AL247" s="20">
        <f t="shared" si="71"/>
        <v>28</v>
      </c>
      <c r="AM247" s="115">
        <f t="shared" si="72"/>
        <v>947326100</v>
      </c>
      <c r="AN247" s="20" t="s">
        <v>5896</v>
      </c>
    </row>
    <row r="248" spans="7:46">
      <c r="G248" s="210" t="s">
        <v>5650</v>
      </c>
      <c r="H248" s="111">
        <v>8738896.6890719999</v>
      </c>
      <c r="O248" t="s">
        <v>25</v>
      </c>
      <c r="Q248" s="97" t="s">
        <v>4567</v>
      </c>
      <c r="R248" s="93">
        <v>46460683</v>
      </c>
      <c r="S248" t="s">
        <v>25</v>
      </c>
      <c r="T248" s="210" t="s">
        <v>4970</v>
      </c>
      <c r="U248" s="210">
        <v>-57212</v>
      </c>
      <c r="V248" s="111">
        <v>368.45400000000001</v>
      </c>
      <c r="W248" s="111">
        <f t="shared" si="62"/>
        <v>-21079990.248</v>
      </c>
      <c r="X248" s="97" t="s">
        <v>452</v>
      </c>
      <c r="AH248" s="97">
        <v>228</v>
      </c>
      <c r="AI248" s="111" t="s">
        <v>5911</v>
      </c>
      <c r="AJ248" s="111">
        <v>150000</v>
      </c>
      <c r="AK248" s="97">
        <v>10</v>
      </c>
      <c r="AL248" s="20">
        <f>AL261+AK248</f>
        <v>10</v>
      </c>
      <c r="AM248" s="115"/>
      <c r="AN248" s="20"/>
    </row>
    <row r="249" spans="7:46">
      <c r="G249" s="210" t="s">
        <v>4185</v>
      </c>
      <c r="H249" s="111">
        <v>348201.66738</v>
      </c>
      <c r="J249" t="s">
        <v>25</v>
      </c>
      <c r="Q249" s="97" t="s">
        <v>4568</v>
      </c>
      <c r="R249" s="93">
        <v>19663646</v>
      </c>
      <c r="T249" s="210" t="s">
        <v>4971</v>
      </c>
      <c r="U249" s="210">
        <v>-15881</v>
      </c>
      <c r="V249" s="111">
        <v>374.61599999999999</v>
      </c>
      <c r="W249" s="111">
        <f t="shared" si="62"/>
        <v>-5949276.6959999995</v>
      </c>
      <c r="X249" s="97" t="s">
        <v>452</v>
      </c>
      <c r="AH249" s="97">
        <v>229</v>
      </c>
      <c r="AI249" s="111" t="s">
        <v>5943</v>
      </c>
      <c r="AJ249" s="111">
        <v>-341847876.93843603</v>
      </c>
      <c r="AK249" s="97">
        <v>1</v>
      </c>
      <c r="AL249" s="20"/>
      <c r="AM249" s="115"/>
      <c r="AN249" s="20" t="s">
        <v>4747</v>
      </c>
      <c r="AP249" t="s">
        <v>25</v>
      </c>
    </row>
    <row r="250" spans="7:46" ht="20.25" customHeight="1">
      <c r="G250" s="210" t="s">
        <v>5652</v>
      </c>
      <c r="H250" s="111">
        <v>4158090.8935679998</v>
      </c>
      <c r="J250" t="s">
        <v>25</v>
      </c>
      <c r="Q250" s="97" t="s">
        <v>4591</v>
      </c>
      <c r="R250" s="93">
        <v>4374525</v>
      </c>
      <c r="T250" s="210" t="s">
        <v>4977</v>
      </c>
      <c r="U250" s="210">
        <v>-41289</v>
      </c>
      <c r="V250" s="111">
        <v>372.27</v>
      </c>
      <c r="W250" s="111">
        <f t="shared" si="62"/>
        <v>-15370656.029999999</v>
      </c>
      <c r="X250" s="97" t="s">
        <v>452</v>
      </c>
      <c r="AH250" s="97">
        <v>230</v>
      </c>
      <c r="AI250" s="111" t="s">
        <v>5961</v>
      </c>
      <c r="AJ250" s="111">
        <v>100000000</v>
      </c>
      <c r="AK250" s="97">
        <v>0</v>
      </c>
      <c r="AL250" s="20"/>
      <c r="AM250" s="115"/>
      <c r="AN250" s="20" t="s">
        <v>5962</v>
      </c>
    </row>
    <row r="251" spans="7:46" ht="30">
      <c r="G251" s="210" t="s">
        <v>5656</v>
      </c>
      <c r="H251" s="111">
        <v>110770524.97879399</v>
      </c>
      <c r="O251" t="s">
        <v>25</v>
      </c>
      <c r="Q251" s="97" t="s">
        <v>4602</v>
      </c>
      <c r="R251" s="93">
        <v>6550580</v>
      </c>
      <c r="T251" s="210" t="s">
        <v>4983</v>
      </c>
      <c r="U251" s="210">
        <v>13563</v>
      </c>
      <c r="V251" s="111">
        <v>365.69799999999998</v>
      </c>
      <c r="W251" s="111">
        <f t="shared" si="62"/>
        <v>4959961.9739999995</v>
      </c>
      <c r="X251" s="97" t="s">
        <v>452</v>
      </c>
      <c r="AH251" s="97">
        <v>231</v>
      </c>
      <c r="AI251" s="111" t="s">
        <v>5961</v>
      </c>
      <c r="AJ251" s="111">
        <v>-100000000</v>
      </c>
      <c r="AK251" s="97">
        <v>1</v>
      </c>
      <c r="AL251" s="20"/>
      <c r="AM251" s="115"/>
      <c r="AN251" s="276" t="s">
        <v>5963</v>
      </c>
    </row>
    <row r="252" spans="7:46">
      <c r="G252" s="210" t="s">
        <v>5669</v>
      </c>
      <c r="H252" s="111">
        <v>6684147.0064600008</v>
      </c>
      <c r="P252" t="s">
        <v>25</v>
      </c>
      <c r="Q252" s="97" t="s">
        <v>4604</v>
      </c>
      <c r="R252" s="93">
        <v>6650895</v>
      </c>
      <c r="T252" s="210" t="s">
        <v>4983</v>
      </c>
      <c r="U252" s="210">
        <v>27344</v>
      </c>
      <c r="V252" s="111">
        <v>365.69799999999998</v>
      </c>
      <c r="W252" s="111">
        <f t="shared" si="62"/>
        <v>9999646.1119999997</v>
      </c>
      <c r="X252" s="97" t="s">
        <v>452</v>
      </c>
      <c r="AH252" s="97">
        <v>232</v>
      </c>
      <c r="AI252" s="111" t="s">
        <v>5964</v>
      </c>
      <c r="AJ252" s="111">
        <v>90000000</v>
      </c>
      <c r="AK252" s="97">
        <v>0</v>
      </c>
      <c r="AL252" s="20"/>
      <c r="AM252" s="115"/>
      <c r="AN252" s="20"/>
    </row>
    <row r="253" spans="7:46" ht="30">
      <c r="G253" s="210" t="s">
        <v>5673</v>
      </c>
      <c r="H253" s="111">
        <v>1826535.2307560001</v>
      </c>
      <c r="K253" t="s">
        <v>25</v>
      </c>
      <c r="Q253" s="97" t="s">
        <v>4621</v>
      </c>
      <c r="R253" s="93">
        <v>2145814</v>
      </c>
      <c r="T253" s="210" t="s">
        <v>4990</v>
      </c>
      <c r="U253" s="210">
        <v>-103145</v>
      </c>
      <c r="V253" s="111">
        <v>393.334</v>
      </c>
      <c r="W253" s="111">
        <f t="shared" si="62"/>
        <v>-40570435.43</v>
      </c>
      <c r="X253" s="36" t="s">
        <v>4995</v>
      </c>
      <c r="AH253" s="97">
        <v>233</v>
      </c>
      <c r="AI253" s="111" t="s">
        <v>5964</v>
      </c>
      <c r="AJ253" s="111">
        <v>-90000000</v>
      </c>
      <c r="AK253" s="97">
        <v>1</v>
      </c>
      <c r="AL253" s="20"/>
      <c r="AM253" s="115"/>
      <c r="AN253" s="276" t="s">
        <v>5965</v>
      </c>
      <c r="AQ253" t="s">
        <v>25</v>
      </c>
      <c r="AS253" t="s">
        <v>25</v>
      </c>
    </row>
    <row r="254" spans="7:46">
      <c r="G254" s="210" t="s">
        <v>5677</v>
      </c>
      <c r="H254" s="111">
        <v>3577366.94</v>
      </c>
      <c r="Q254" s="97" t="s">
        <v>4632</v>
      </c>
      <c r="R254" s="93">
        <v>4369730</v>
      </c>
      <c r="T254" s="210" t="s">
        <v>4990</v>
      </c>
      <c r="U254" s="210">
        <v>-369</v>
      </c>
      <c r="V254" s="111">
        <v>393.334</v>
      </c>
      <c r="W254" s="111">
        <f t="shared" si="62"/>
        <v>-145140.24600000001</v>
      </c>
      <c r="X254" s="36" t="s">
        <v>5067</v>
      </c>
      <c r="AH254" s="97">
        <v>234</v>
      </c>
      <c r="AI254" s="111" t="s">
        <v>5966</v>
      </c>
      <c r="AJ254" s="111">
        <v>30000000</v>
      </c>
      <c r="AK254" s="97">
        <v>0</v>
      </c>
      <c r="AL254" s="20"/>
      <c r="AM254" s="115"/>
      <c r="AN254" s="276"/>
    </row>
    <row r="255" spans="7:46" ht="30">
      <c r="G255" s="210" t="s">
        <v>5679</v>
      </c>
      <c r="H255" s="111">
        <v>21239029.173567999</v>
      </c>
      <c r="J255" t="s">
        <v>25</v>
      </c>
      <c r="P255" t="s">
        <v>25</v>
      </c>
      <c r="Q255" s="97" t="s">
        <v>4634</v>
      </c>
      <c r="R255" s="93">
        <v>8739459</v>
      </c>
      <c r="S255" t="s">
        <v>25</v>
      </c>
      <c r="T255" s="210" t="s">
        <v>4990</v>
      </c>
      <c r="U255" s="210">
        <v>-889</v>
      </c>
      <c r="V255" s="111">
        <v>393.334</v>
      </c>
      <c r="W255" s="111">
        <f t="shared" si="62"/>
        <v>-349673.92599999998</v>
      </c>
      <c r="X255" s="36" t="s">
        <v>5068</v>
      </c>
      <c r="AH255" s="97">
        <v>235</v>
      </c>
      <c r="AI255" s="111" t="s">
        <v>5966</v>
      </c>
      <c r="AJ255" s="111">
        <v>-30000000</v>
      </c>
      <c r="AK255" s="97">
        <v>1</v>
      </c>
      <c r="AL255" s="20"/>
      <c r="AM255" s="115"/>
      <c r="AN255" s="276" t="s">
        <v>5967</v>
      </c>
    </row>
    <row r="256" spans="7:46">
      <c r="G256" s="210" t="s">
        <v>5683</v>
      </c>
      <c r="H256" s="111">
        <v>242957252.40163299</v>
      </c>
      <c r="Q256" s="97" t="s">
        <v>4643</v>
      </c>
      <c r="R256" s="93">
        <v>6667654</v>
      </c>
      <c r="T256" s="210" t="s">
        <v>4999</v>
      </c>
      <c r="U256" s="210">
        <v>2546</v>
      </c>
      <c r="V256" s="111">
        <v>393</v>
      </c>
      <c r="W256" s="111">
        <f t="shared" si="62"/>
        <v>1000578</v>
      </c>
      <c r="X256" s="36" t="s">
        <v>452</v>
      </c>
      <c r="AH256" s="97"/>
      <c r="AI256" s="111"/>
      <c r="AJ256" s="111"/>
      <c r="AK256" s="97"/>
      <c r="AL256" s="20"/>
      <c r="AM256" s="115"/>
      <c r="AN256" s="276"/>
    </row>
    <row r="257" spans="7:45">
      <c r="G257" s="210" t="s">
        <v>5687</v>
      </c>
      <c r="H257" s="111">
        <v>7357181.2750800001</v>
      </c>
      <c r="J257" t="s">
        <v>25</v>
      </c>
      <c r="Q257" s="97" t="s">
        <v>4651</v>
      </c>
      <c r="R257" s="93">
        <v>8981245</v>
      </c>
      <c r="T257" s="210" t="s">
        <v>5000</v>
      </c>
      <c r="U257" s="210">
        <v>1034</v>
      </c>
      <c r="V257" s="111">
        <v>386.608</v>
      </c>
      <c r="W257" s="111">
        <f t="shared" si="62"/>
        <v>399752.67200000002</v>
      </c>
      <c r="X257" s="36" t="s">
        <v>452</v>
      </c>
      <c r="AH257" s="97"/>
      <c r="AI257" s="111"/>
      <c r="AJ257" s="111"/>
      <c r="AK257" s="97"/>
      <c r="AL257" s="20"/>
      <c r="AM257" s="115"/>
      <c r="AN257" s="276"/>
    </row>
    <row r="258" spans="7:45">
      <c r="G258" s="210" t="s">
        <v>5689</v>
      </c>
      <c r="H258" s="111">
        <v>14951411.942400001</v>
      </c>
      <c r="Q258" s="97" t="s">
        <v>4655</v>
      </c>
      <c r="R258" s="93">
        <v>9181756</v>
      </c>
      <c r="T258" s="210" t="s">
        <v>5007</v>
      </c>
      <c r="U258" s="210">
        <v>300</v>
      </c>
      <c r="V258" s="111">
        <v>400</v>
      </c>
      <c r="W258" s="111">
        <f t="shared" si="62"/>
        <v>120000</v>
      </c>
      <c r="X258" s="36" t="s">
        <v>452</v>
      </c>
      <c r="AH258" s="97"/>
      <c r="AI258" s="111"/>
      <c r="AJ258" s="111"/>
      <c r="AK258" s="97"/>
      <c r="AL258" s="20"/>
      <c r="AM258" s="115"/>
      <c r="AN258" s="276"/>
    </row>
    <row r="259" spans="7:45" ht="15" customHeight="1">
      <c r="G259" s="210" t="s">
        <v>5693</v>
      </c>
      <c r="H259" s="111">
        <v>47928209.377011999</v>
      </c>
      <c r="P259" t="s">
        <v>25</v>
      </c>
      <c r="Q259" s="97" t="s">
        <v>4658</v>
      </c>
      <c r="R259" s="93">
        <v>11811208</v>
      </c>
      <c r="S259" t="s">
        <v>25</v>
      </c>
      <c r="T259" s="210" t="s">
        <v>5015</v>
      </c>
      <c r="U259" s="210">
        <v>782</v>
      </c>
      <c r="V259" s="111">
        <v>409</v>
      </c>
      <c r="W259" s="111">
        <f t="shared" si="62"/>
        <v>319838</v>
      </c>
      <c r="X259" s="36" t="s">
        <v>744</v>
      </c>
      <c r="AH259" s="97"/>
      <c r="AI259" s="111"/>
      <c r="AJ259" s="111"/>
      <c r="AK259" s="97"/>
      <c r="AL259" s="20"/>
      <c r="AM259" s="115"/>
      <c r="AN259" s="20"/>
    </row>
    <row r="260" spans="7:45">
      <c r="G260" s="210" t="s">
        <v>5695</v>
      </c>
      <c r="H260" s="111">
        <v>2281595.69937</v>
      </c>
      <c r="J260" t="s">
        <v>25</v>
      </c>
      <c r="Q260" s="97" t="s">
        <v>4672</v>
      </c>
      <c r="R260" s="93">
        <v>41248054</v>
      </c>
      <c r="S260" t="s">
        <v>25</v>
      </c>
      <c r="T260" s="210" t="s">
        <v>5019</v>
      </c>
      <c r="U260" s="210">
        <v>1220</v>
      </c>
      <c r="V260" s="111">
        <v>409.9</v>
      </c>
      <c r="W260" s="111">
        <f t="shared" si="62"/>
        <v>500078</v>
      </c>
      <c r="X260" s="36" t="s">
        <v>744</v>
      </c>
      <c r="AH260" s="97"/>
      <c r="AI260" s="111"/>
      <c r="AJ260" s="111"/>
      <c r="AK260" s="97"/>
      <c r="AL260" s="20"/>
      <c r="AM260" s="115"/>
      <c r="AN260" s="20"/>
    </row>
    <row r="261" spans="7:45">
      <c r="G261" s="210" t="s">
        <v>5697</v>
      </c>
      <c r="H261" s="111">
        <v>2964916.035069</v>
      </c>
      <c r="Q261" s="97" t="s">
        <v>4679</v>
      </c>
      <c r="R261" s="93">
        <v>37328780</v>
      </c>
      <c r="T261" s="210" t="s">
        <v>5021</v>
      </c>
      <c r="U261" s="210">
        <v>1285</v>
      </c>
      <c r="V261" s="111">
        <v>388.84</v>
      </c>
      <c r="W261" s="111">
        <f t="shared" si="62"/>
        <v>499659.39999999997</v>
      </c>
      <c r="X261" s="36" t="s">
        <v>452</v>
      </c>
      <c r="AH261" s="97"/>
      <c r="AI261" s="111"/>
      <c r="AJ261" s="111"/>
      <c r="AK261" s="97"/>
      <c r="AL261" s="20">
        <f t="shared" si="71"/>
        <v>0</v>
      </c>
      <c r="AM261" s="115"/>
      <c r="AN261" s="20"/>
      <c r="AS261" t="s">
        <v>25</v>
      </c>
    </row>
    <row r="262" spans="7:45">
      <c r="G262" s="210" t="s">
        <v>5698</v>
      </c>
      <c r="H262" s="111">
        <v>6460549.4269619994</v>
      </c>
      <c r="K262" t="s">
        <v>25</v>
      </c>
      <c r="Q262" s="97" t="s">
        <v>4759</v>
      </c>
      <c r="R262" s="93">
        <v>-2194100</v>
      </c>
      <c r="T262" s="210" t="s">
        <v>5012</v>
      </c>
      <c r="U262" s="210">
        <v>1924</v>
      </c>
      <c r="V262" s="111">
        <v>386.69600000000003</v>
      </c>
      <c r="W262" s="111">
        <f t="shared" si="62"/>
        <v>744003.10400000005</v>
      </c>
      <c r="X262" s="36" t="s">
        <v>452</v>
      </c>
      <c r="AH262" s="97"/>
      <c r="AI262" s="111"/>
      <c r="AJ262" s="111">
        <v>0</v>
      </c>
      <c r="AK262" s="97"/>
      <c r="AL262" s="20">
        <f t="shared" si="71"/>
        <v>0</v>
      </c>
      <c r="AM262" s="115">
        <f t="shared" si="72"/>
        <v>0</v>
      </c>
      <c r="AN262" s="20"/>
    </row>
    <row r="263" spans="7:45" ht="17.25" customHeight="1">
      <c r="G263" s="210" t="s">
        <v>5700</v>
      </c>
      <c r="H263" s="111">
        <v>5212319.8968359996</v>
      </c>
      <c r="Q263" s="97" t="s">
        <v>4796</v>
      </c>
      <c r="R263" s="93">
        <v>20193916</v>
      </c>
      <c r="T263" s="210" t="s">
        <v>5037</v>
      </c>
      <c r="U263" s="210">
        <v>165</v>
      </c>
      <c r="V263" s="111">
        <v>393.5</v>
      </c>
      <c r="W263" s="111">
        <f t="shared" si="62"/>
        <v>64927.5</v>
      </c>
      <c r="X263" s="36" t="s">
        <v>452</v>
      </c>
      <c r="AH263" s="97"/>
      <c r="AI263" s="111"/>
      <c r="AJ263" s="111"/>
      <c r="AK263" s="97">
        <v>0</v>
      </c>
      <c r="AL263" s="20">
        <f t="shared" si="71"/>
        <v>0</v>
      </c>
      <c r="AM263" s="115">
        <f t="shared" si="72"/>
        <v>0</v>
      </c>
      <c r="AN263" s="20"/>
      <c r="AS263" t="s">
        <v>25</v>
      </c>
    </row>
    <row r="264" spans="7:45" ht="30">
      <c r="G264" s="210" t="s">
        <v>5703</v>
      </c>
      <c r="H264" s="111">
        <v>4524496.4792809999</v>
      </c>
      <c r="Q264" s="97" t="s">
        <v>4866</v>
      </c>
      <c r="R264" s="93">
        <v>-2000000</v>
      </c>
      <c r="T264" s="210" t="s">
        <v>5042</v>
      </c>
      <c r="U264" s="210">
        <v>-34859</v>
      </c>
      <c r="V264" s="111">
        <v>403.1585</v>
      </c>
      <c r="W264" s="111">
        <f t="shared" si="62"/>
        <v>-14053702.1515</v>
      </c>
      <c r="X264" s="36" t="s">
        <v>5045</v>
      </c>
      <c r="AH264" s="97"/>
      <c r="AI264" s="97"/>
      <c r="AJ264" s="93">
        <f>SUM(AJ20:AJ263)</f>
        <v>438470949.06156397</v>
      </c>
      <c r="AK264" s="97"/>
      <c r="AL264" s="97">
        <v>0</v>
      </c>
      <c r="AM264" s="93">
        <f>SUM(AM20:AM263)</f>
        <v>425139003904</v>
      </c>
      <c r="AN264" s="93">
        <f>AM264*AN267/31</f>
        <v>228573928.32477316</v>
      </c>
    </row>
    <row r="265" spans="7:45">
      <c r="G265" s="210" t="s">
        <v>5705</v>
      </c>
      <c r="H265" s="111">
        <v>22866040.240959998</v>
      </c>
      <c r="Q265" s="97" t="s">
        <v>4930</v>
      </c>
      <c r="R265" s="93">
        <v>6800000</v>
      </c>
      <c r="S265" t="s">
        <v>25</v>
      </c>
      <c r="T265" s="210" t="s">
        <v>5013</v>
      </c>
      <c r="U265" s="210">
        <v>8476</v>
      </c>
      <c r="V265" s="111">
        <v>419.49900000000002</v>
      </c>
      <c r="W265" s="111">
        <f t="shared" si="62"/>
        <v>3555673.5240000002</v>
      </c>
      <c r="X265" s="36" t="s">
        <v>5051</v>
      </c>
      <c r="AH265" s="97"/>
      <c r="AI265" s="97"/>
      <c r="AJ265" s="97" t="s">
        <v>4043</v>
      </c>
      <c r="AK265" s="97"/>
      <c r="AL265" s="97"/>
      <c r="AM265" s="97" t="s">
        <v>284</v>
      </c>
      <c r="AN265" s="97" t="s">
        <v>928</v>
      </c>
    </row>
    <row r="266" spans="7:45">
      <c r="G266" s="210" t="s">
        <v>5707</v>
      </c>
      <c r="H266" s="111">
        <v>15359304.269892</v>
      </c>
      <c r="Q266" s="97" t="s">
        <v>4939</v>
      </c>
      <c r="R266" s="93">
        <v>850000</v>
      </c>
      <c r="T266" s="210" t="s">
        <v>5063</v>
      </c>
      <c r="U266" s="210">
        <v>903</v>
      </c>
      <c r="V266" s="111">
        <v>442.77379999999999</v>
      </c>
      <c r="W266" s="111">
        <f t="shared" si="62"/>
        <v>399824.7414</v>
      </c>
      <c r="X266" s="36" t="s">
        <v>744</v>
      </c>
      <c r="AH266" s="97"/>
      <c r="AI266" s="97"/>
      <c r="AJ266" s="97"/>
      <c r="AK266" s="97"/>
      <c r="AL266" s="97"/>
      <c r="AM266" s="97"/>
      <c r="AN266" s="97"/>
    </row>
    <row r="267" spans="7:45" ht="20.25" customHeight="1">
      <c r="G267" s="210" t="s">
        <v>5709</v>
      </c>
      <c r="H267" s="111">
        <v>2868508.1846330003</v>
      </c>
      <c r="Q267" s="97" t="s">
        <v>4947</v>
      </c>
      <c r="R267" s="93">
        <v>2290500</v>
      </c>
      <c r="T267" s="210" t="s">
        <v>5066</v>
      </c>
      <c r="U267" s="210">
        <v>113</v>
      </c>
      <c r="V267" s="111">
        <v>442.48200000000003</v>
      </c>
      <c r="W267" s="111">
        <f t="shared" ref="W267:W349" si="73">U267*V267</f>
        <v>50000.466</v>
      </c>
      <c r="X267" s="36" t="s">
        <v>744</v>
      </c>
      <c r="AH267" s="97"/>
      <c r="AI267" s="97"/>
      <c r="AJ267" s="97"/>
      <c r="AK267" s="97"/>
      <c r="AL267" s="97"/>
      <c r="AM267" s="97" t="s">
        <v>4044</v>
      </c>
      <c r="AN267" s="97">
        <v>1.6667000000000001E-2</v>
      </c>
      <c r="AS267" t="s">
        <v>25</v>
      </c>
    </row>
    <row r="268" spans="7:45">
      <c r="G268" s="210" t="s">
        <v>5710</v>
      </c>
      <c r="H268" s="111">
        <v>17450393.011856001</v>
      </c>
      <c r="Q268" s="97" t="s">
        <v>4955</v>
      </c>
      <c r="R268" s="93">
        <v>400000</v>
      </c>
      <c r="S268" t="s">
        <v>25</v>
      </c>
      <c r="T268" s="210" t="s">
        <v>5076</v>
      </c>
      <c r="U268" s="210">
        <v>671</v>
      </c>
      <c r="V268" s="111">
        <v>447</v>
      </c>
      <c r="W268" s="111">
        <f t="shared" si="73"/>
        <v>299937</v>
      </c>
      <c r="X268" s="36" t="s">
        <v>744</v>
      </c>
      <c r="AH268" s="97"/>
      <c r="AI268" s="97"/>
      <c r="AJ268" s="97"/>
      <c r="AK268" s="97"/>
      <c r="AL268" s="97"/>
      <c r="AM268" s="97"/>
      <c r="AN268" s="97"/>
    </row>
    <row r="269" spans="7:45" ht="21.75" customHeight="1">
      <c r="G269" s="210" t="s">
        <v>5711</v>
      </c>
      <c r="H269" s="111">
        <v>31388943.254850004</v>
      </c>
      <c r="Q269" s="97" t="s">
        <v>4962</v>
      </c>
      <c r="R269" s="93">
        <v>150000</v>
      </c>
      <c r="T269" s="210" t="s">
        <v>5078</v>
      </c>
      <c r="U269" s="210">
        <v>7</v>
      </c>
      <c r="V269" s="111">
        <v>465.31200000000001</v>
      </c>
      <c r="W269" s="111">
        <f t="shared" si="73"/>
        <v>3257.1840000000002</v>
      </c>
      <c r="X269" s="36" t="s">
        <v>452</v>
      </c>
      <c r="AH269" s="97"/>
      <c r="AI269" s="97" t="s">
        <v>4045</v>
      </c>
      <c r="AJ269" s="93">
        <f>AJ264+AN264</f>
        <v>667044877.38633716</v>
      </c>
      <c r="AK269" s="97"/>
      <c r="AL269" s="97"/>
      <c r="AM269" s="97"/>
      <c r="AN269" s="97"/>
    </row>
    <row r="270" spans="7:45">
      <c r="G270" s="210" t="s">
        <v>5712</v>
      </c>
      <c r="H270" s="111">
        <v>30912095.373174001</v>
      </c>
      <c r="J270" t="s">
        <v>25</v>
      </c>
      <c r="Q270" s="97" t="s">
        <v>4990</v>
      </c>
      <c r="R270" s="93">
        <v>-144950</v>
      </c>
      <c r="T270" s="210" t="s">
        <v>5083</v>
      </c>
      <c r="U270" s="210">
        <v>12950</v>
      </c>
      <c r="V270" s="111">
        <v>463.31599999999997</v>
      </c>
      <c r="W270" s="111">
        <f t="shared" si="73"/>
        <v>5999942.1999999993</v>
      </c>
      <c r="X270" s="36" t="s">
        <v>452</v>
      </c>
      <c r="AI270" t="s">
        <v>4048</v>
      </c>
      <c r="AJ270" s="112">
        <f>SUM(N40:N51)</f>
        <v>4955435411</v>
      </c>
      <c r="AM270" t="s">
        <v>25</v>
      </c>
    </row>
    <row r="271" spans="7:45">
      <c r="G271" s="210" t="s">
        <v>5714</v>
      </c>
      <c r="H271" s="111">
        <v>19602926.115093999</v>
      </c>
      <c r="J271" t="s">
        <v>25</v>
      </c>
      <c r="Q271" s="97" t="s">
        <v>5015</v>
      </c>
      <c r="R271" s="93">
        <v>320000</v>
      </c>
      <c r="T271" s="210" t="s">
        <v>5085</v>
      </c>
      <c r="U271" s="210">
        <v>37</v>
      </c>
      <c r="V271" s="111">
        <v>463.315</v>
      </c>
      <c r="W271" s="111">
        <f t="shared" si="73"/>
        <v>17142.654999999999</v>
      </c>
      <c r="X271" s="36" t="s">
        <v>452</v>
      </c>
      <c r="AI271" t="s">
        <v>4118</v>
      </c>
      <c r="AJ271" s="112">
        <f>AJ270-AJ264</f>
        <v>4516964461.9384365</v>
      </c>
      <c r="AM271" t="s">
        <v>25</v>
      </c>
      <c r="AR271" t="s">
        <v>25</v>
      </c>
    </row>
    <row r="272" spans="7:45">
      <c r="G272" s="210" t="s">
        <v>5718</v>
      </c>
      <c r="H272" s="111">
        <v>34458590.308710001</v>
      </c>
      <c r="Q272" s="97" t="s">
        <v>5019</v>
      </c>
      <c r="R272" s="93">
        <v>500000</v>
      </c>
      <c r="S272" t="s">
        <v>25</v>
      </c>
      <c r="T272" s="210" t="s">
        <v>5086</v>
      </c>
      <c r="U272" s="210">
        <v>19</v>
      </c>
      <c r="V272" s="111">
        <v>434.3</v>
      </c>
      <c r="W272" s="111">
        <f t="shared" si="73"/>
        <v>8251.7000000000007</v>
      </c>
      <c r="X272" s="36" t="s">
        <v>452</v>
      </c>
      <c r="Y272" t="s">
        <v>25</v>
      </c>
      <c r="AI272" t="s">
        <v>928</v>
      </c>
      <c r="AJ272" s="112">
        <f>AN264</f>
        <v>228573928.32477316</v>
      </c>
      <c r="AN272" t="s">
        <v>25</v>
      </c>
    </row>
    <row r="273" spans="7:40">
      <c r="G273" s="210" t="s">
        <v>5721</v>
      </c>
      <c r="H273" s="111">
        <v>21697868.203256</v>
      </c>
      <c r="Q273" s="97" t="s">
        <v>5063</v>
      </c>
      <c r="R273" s="93">
        <v>400000</v>
      </c>
      <c r="S273" t="s">
        <v>25</v>
      </c>
      <c r="T273" s="210" t="s">
        <v>5088</v>
      </c>
      <c r="U273" s="210">
        <v>16</v>
      </c>
      <c r="V273" s="111">
        <v>439</v>
      </c>
      <c r="W273" s="111">
        <f t="shared" si="73"/>
        <v>7024</v>
      </c>
      <c r="X273" s="36" t="s">
        <v>452</v>
      </c>
      <c r="Y273" t="s">
        <v>25</v>
      </c>
      <c r="AI273" t="s">
        <v>4049</v>
      </c>
      <c r="AJ273" s="112">
        <f>AJ270-AJ269</f>
        <v>4288390533.6136627</v>
      </c>
      <c r="AN273" t="s">
        <v>25</v>
      </c>
    </row>
    <row r="274" spans="7:40" ht="45">
      <c r="G274" s="210" t="s">
        <v>5723</v>
      </c>
      <c r="H274" s="111">
        <v>25340079.252110001</v>
      </c>
      <c r="Q274" s="97" t="s">
        <v>5066</v>
      </c>
      <c r="R274" s="93">
        <v>50000</v>
      </c>
      <c r="S274" t="s">
        <v>25</v>
      </c>
      <c r="T274" s="210" t="s">
        <v>5088</v>
      </c>
      <c r="U274" s="210">
        <v>9191</v>
      </c>
      <c r="V274" s="111">
        <v>440.24630000000002</v>
      </c>
      <c r="W274" s="111">
        <f t="shared" si="73"/>
        <v>4046303.7433000002</v>
      </c>
      <c r="X274" s="36" t="s">
        <v>5089</v>
      </c>
      <c r="AM274" t="s">
        <v>25</v>
      </c>
    </row>
    <row r="275" spans="7:40">
      <c r="G275" s="210" t="s">
        <v>5724</v>
      </c>
      <c r="H275" s="111">
        <v>14780983.183526</v>
      </c>
      <c r="Q275" s="97" t="s">
        <v>5076</v>
      </c>
      <c r="R275" s="93">
        <v>300000</v>
      </c>
      <c r="T275" s="210" t="s">
        <v>5091</v>
      </c>
      <c r="U275" s="210">
        <v>-8792</v>
      </c>
      <c r="V275" s="111">
        <v>441.90665999999999</v>
      </c>
      <c r="W275" s="111">
        <f t="shared" si="73"/>
        <v>-3885243.3547199997</v>
      </c>
      <c r="X275" s="36" t="s">
        <v>5092</v>
      </c>
      <c r="AJ275" t="s">
        <v>25</v>
      </c>
    </row>
    <row r="276" spans="7:40">
      <c r="G276" s="210" t="s">
        <v>5727</v>
      </c>
      <c r="H276" s="111">
        <v>17804396.448481999</v>
      </c>
      <c r="Q276" s="97" t="s">
        <v>5098</v>
      </c>
      <c r="R276" s="93">
        <v>250000</v>
      </c>
      <c r="T276" s="210" t="s">
        <v>5098</v>
      </c>
      <c r="U276" s="210">
        <v>530</v>
      </c>
      <c r="V276" s="111">
        <v>472</v>
      </c>
      <c r="W276" s="111">
        <f t="shared" si="73"/>
        <v>250160</v>
      </c>
      <c r="X276" s="36" t="s">
        <v>744</v>
      </c>
    </row>
    <row r="277" spans="7:40" ht="30">
      <c r="G277" s="210" t="s">
        <v>5731</v>
      </c>
      <c r="H277" s="111">
        <v>11538335.631417999</v>
      </c>
      <c r="Q277" s="97" t="s">
        <v>5131</v>
      </c>
      <c r="R277" s="93">
        <v>200000</v>
      </c>
      <c r="T277" s="210" t="s">
        <v>5098</v>
      </c>
      <c r="U277" s="210">
        <v>12</v>
      </c>
      <c r="V277" s="111">
        <v>481.86</v>
      </c>
      <c r="W277" s="111">
        <f t="shared" si="73"/>
        <v>5782.32</v>
      </c>
      <c r="X277" s="36" t="s">
        <v>5100</v>
      </c>
    </row>
    <row r="278" spans="7:40">
      <c r="G278" s="210" t="s">
        <v>5732</v>
      </c>
      <c r="H278" s="111">
        <v>12429517.767776001</v>
      </c>
      <c r="Q278" s="97" t="s">
        <v>5163</v>
      </c>
      <c r="R278" s="93">
        <v>122000</v>
      </c>
      <c r="T278" s="210" t="s">
        <v>5124</v>
      </c>
      <c r="U278" s="210">
        <v>846</v>
      </c>
      <c r="V278" s="111">
        <v>472.7</v>
      </c>
      <c r="W278" s="111">
        <f t="shared" si="73"/>
        <v>399904.2</v>
      </c>
      <c r="X278" s="36" t="s">
        <v>452</v>
      </c>
    </row>
    <row r="279" spans="7:40">
      <c r="G279" s="210" t="s">
        <v>5743</v>
      </c>
      <c r="H279" s="111">
        <v>5031176.5087869996</v>
      </c>
      <c r="Q279" s="97" t="s">
        <v>5171</v>
      </c>
      <c r="R279" s="93">
        <v>200000</v>
      </c>
      <c r="S279" t="s">
        <v>25</v>
      </c>
      <c r="T279" s="210" t="s">
        <v>5127</v>
      </c>
      <c r="U279" s="210">
        <v>191</v>
      </c>
      <c r="V279" s="111">
        <v>484.572</v>
      </c>
      <c r="W279" s="111">
        <f t="shared" si="73"/>
        <v>92553.252000000008</v>
      </c>
      <c r="X279" s="36" t="s">
        <v>5128</v>
      </c>
    </row>
    <row r="280" spans="7:40">
      <c r="G280" s="210" t="s">
        <v>5745</v>
      </c>
      <c r="H280" s="111">
        <v>6822803.9080700008</v>
      </c>
      <c r="O280" t="s">
        <v>25</v>
      </c>
      <c r="Q280" s="97" t="s">
        <v>5181</v>
      </c>
      <c r="R280" s="93">
        <v>60000</v>
      </c>
      <c r="T280" s="210" t="s">
        <v>5127</v>
      </c>
      <c r="U280" s="210">
        <v>-206</v>
      </c>
      <c r="V280" s="111">
        <v>484.572</v>
      </c>
      <c r="W280" s="111">
        <f t="shared" si="73"/>
        <v>-99821.831999999995</v>
      </c>
      <c r="X280" s="36" t="s">
        <v>5130</v>
      </c>
      <c r="AH280" s="97" t="s">
        <v>3625</v>
      </c>
      <c r="AI280" s="97" t="s">
        <v>180</v>
      </c>
      <c r="AJ280" s="97" t="s">
        <v>267</v>
      </c>
      <c r="AK280" s="97" t="s">
        <v>4042</v>
      </c>
      <c r="AL280" s="97" t="s">
        <v>4034</v>
      </c>
      <c r="AM280" s="97" t="s">
        <v>282</v>
      </c>
      <c r="AN280" s="97" t="s">
        <v>4268</v>
      </c>
    </row>
    <row r="281" spans="7:40">
      <c r="G281" s="210" t="s">
        <v>5749</v>
      </c>
      <c r="H281" s="111">
        <v>330889.73324399994</v>
      </c>
      <c r="Q281" s="97" t="s">
        <v>5240</v>
      </c>
      <c r="R281" s="93">
        <v>-200000</v>
      </c>
      <c r="S281" t="s">
        <v>25</v>
      </c>
      <c r="T281" s="210" t="s">
        <v>5131</v>
      </c>
      <c r="U281" s="210">
        <v>20685</v>
      </c>
      <c r="V281" s="111">
        <v>483.43312200000003</v>
      </c>
      <c r="W281" s="111">
        <f t="shared" si="73"/>
        <v>9999814.1285699997</v>
      </c>
      <c r="X281" s="36" t="s">
        <v>5133</v>
      </c>
      <c r="AH281" s="97">
        <v>1</v>
      </c>
      <c r="AI281" s="97" t="s">
        <v>3933</v>
      </c>
      <c r="AJ281" s="115">
        <v>3555820</v>
      </c>
      <c r="AK281" s="97">
        <v>2</v>
      </c>
      <c r="AL281" s="97">
        <f>AK281+AL282</f>
        <v>991</v>
      </c>
      <c r="AM281" s="97">
        <f>AJ281*AL281</f>
        <v>3523817620</v>
      </c>
      <c r="AN281" s="97" t="s">
        <v>4286</v>
      </c>
    </row>
    <row r="282" spans="7:40">
      <c r="G282" s="210" t="s">
        <v>5759</v>
      </c>
      <c r="H282" s="111">
        <v>6610318.1610199995</v>
      </c>
      <c r="K282" t="s">
        <v>25</v>
      </c>
      <c r="Q282" s="97" t="s">
        <v>5302</v>
      </c>
      <c r="R282" s="93">
        <v>-9000000</v>
      </c>
      <c r="T282" s="210" t="s">
        <v>5131</v>
      </c>
      <c r="U282" s="210">
        <v>-413</v>
      </c>
      <c r="V282" s="111">
        <v>483.40199999999999</v>
      </c>
      <c r="W282" s="111">
        <f t="shared" si="73"/>
        <v>-199645.02599999998</v>
      </c>
      <c r="X282" s="36" t="s">
        <v>4409</v>
      </c>
      <c r="AH282" s="97">
        <v>2</v>
      </c>
      <c r="AI282" s="97" t="s">
        <v>4008</v>
      </c>
      <c r="AJ282" s="115">
        <v>1720837</v>
      </c>
      <c r="AK282" s="97">
        <v>51</v>
      </c>
      <c r="AL282" s="97">
        <f t="shared" ref="AL282:AL291" si="74">AK282+AL283</f>
        <v>989</v>
      </c>
      <c r="AM282" s="97">
        <f t="shared" ref="AM282:AM310" si="75">AJ282*AL282</f>
        <v>1701907793</v>
      </c>
      <c r="AN282" s="97" t="s">
        <v>4287</v>
      </c>
    </row>
    <row r="283" spans="7:40">
      <c r="G283" s="210" t="s">
        <v>5760</v>
      </c>
      <c r="H283" s="111">
        <v>710713.17725199996</v>
      </c>
      <c r="Q283" s="97" t="s">
        <v>5365</v>
      </c>
      <c r="R283" s="93">
        <v>-26000000</v>
      </c>
      <c r="T283" s="210" t="s">
        <v>5131</v>
      </c>
      <c r="U283" s="210">
        <v>413</v>
      </c>
      <c r="V283" s="111">
        <v>483.40199999999999</v>
      </c>
      <c r="W283" s="111">
        <f t="shared" si="73"/>
        <v>199645.02599999998</v>
      </c>
      <c r="X283" s="36" t="s">
        <v>744</v>
      </c>
      <c r="AH283" s="97">
        <v>3</v>
      </c>
      <c r="AI283" s="97" t="s">
        <v>4112</v>
      </c>
      <c r="AJ283" s="115">
        <v>150000</v>
      </c>
      <c r="AK283" s="97">
        <v>3</v>
      </c>
      <c r="AL283" s="97">
        <f t="shared" si="74"/>
        <v>938</v>
      </c>
      <c r="AM283" s="97">
        <f t="shared" si="75"/>
        <v>140700000</v>
      </c>
      <c r="AN283" s="97"/>
    </row>
    <row r="284" spans="7:40">
      <c r="G284" s="210" t="s">
        <v>5762</v>
      </c>
      <c r="H284" s="111">
        <v>81025</v>
      </c>
      <c r="J284" t="s">
        <v>25</v>
      </c>
      <c r="Q284" s="97" t="s">
        <v>5369</v>
      </c>
      <c r="R284" s="93">
        <v>-95900000</v>
      </c>
      <c r="T284" s="210" t="s">
        <v>5136</v>
      </c>
      <c r="U284" s="210">
        <v>-828</v>
      </c>
      <c r="V284" s="111">
        <v>483.43312200000003</v>
      </c>
      <c r="W284" s="111">
        <f t="shared" si="73"/>
        <v>-400282.62501600001</v>
      </c>
      <c r="X284" s="36" t="s">
        <v>452</v>
      </c>
      <c r="AH284" s="97">
        <v>4</v>
      </c>
      <c r="AI284" s="97" t="s">
        <v>4127</v>
      </c>
      <c r="AJ284" s="115">
        <v>-95000</v>
      </c>
      <c r="AK284" s="97">
        <v>8</v>
      </c>
      <c r="AL284" s="97">
        <f t="shared" si="74"/>
        <v>935</v>
      </c>
      <c r="AM284" s="97">
        <f t="shared" si="75"/>
        <v>-88825000</v>
      </c>
      <c r="AN284" s="97"/>
    </row>
    <row r="285" spans="7:40">
      <c r="G285" s="210" t="s">
        <v>5765</v>
      </c>
      <c r="H285" s="111">
        <v>219696.613128</v>
      </c>
      <c r="K285" t="s">
        <v>25</v>
      </c>
      <c r="Q285" s="97" t="s">
        <v>5370</v>
      </c>
      <c r="R285" s="93">
        <v>-28950000</v>
      </c>
      <c r="S285" t="s">
        <v>25</v>
      </c>
      <c r="T285" s="210" t="s">
        <v>5139</v>
      </c>
      <c r="U285" s="210">
        <v>12</v>
      </c>
      <c r="V285" s="111">
        <v>473.61898300000001</v>
      </c>
      <c r="W285" s="111">
        <f t="shared" si="73"/>
        <v>5683.4277959999999</v>
      </c>
      <c r="X285" s="36" t="s">
        <v>452</v>
      </c>
      <c r="AH285" s="97">
        <v>5</v>
      </c>
      <c r="AI285" s="97" t="s">
        <v>4152</v>
      </c>
      <c r="AJ285" s="115">
        <v>3150000</v>
      </c>
      <c r="AK285" s="97">
        <v>16</v>
      </c>
      <c r="AL285" s="97">
        <f t="shared" si="74"/>
        <v>927</v>
      </c>
      <c r="AM285" s="97">
        <f t="shared" si="75"/>
        <v>2920050000</v>
      </c>
      <c r="AN285" s="97"/>
    </row>
    <row r="286" spans="7:40">
      <c r="G286" s="210" t="s">
        <v>5766</v>
      </c>
      <c r="H286" s="111">
        <v>6035472.4070199998</v>
      </c>
      <c r="Q286" s="97" t="s">
        <v>5528</v>
      </c>
      <c r="R286" s="93">
        <v>-93000000</v>
      </c>
      <c r="S286" t="s">
        <v>25</v>
      </c>
      <c r="T286" s="210" t="s">
        <v>5142</v>
      </c>
      <c r="U286" s="210">
        <v>963</v>
      </c>
      <c r="V286" s="111">
        <v>477.92200000000003</v>
      </c>
      <c r="W286" s="111">
        <f t="shared" si="73"/>
        <v>460238.886</v>
      </c>
      <c r="X286" s="36" t="s">
        <v>452</v>
      </c>
      <c r="AH286" s="97">
        <v>6</v>
      </c>
      <c r="AI286" s="97" t="s">
        <v>4217</v>
      </c>
      <c r="AJ286" s="115">
        <v>-65000</v>
      </c>
      <c r="AK286" s="97">
        <v>1</v>
      </c>
      <c r="AL286" s="97">
        <f t="shared" si="74"/>
        <v>911</v>
      </c>
      <c r="AM286" s="97">
        <f t="shared" si="75"/>
        <v>-59215000</v>
      </c>
      <c r="AN286" s="97"/>
    </row>
    <row r="287" spans="7:40">
      <c r="G287" s="210" t="s">
        <v>5768</v>
      </c>
      <c r="H287" s="111">
        <v>984486.34963200008</v>
      </c>
      <c r="Q287" s="97" t="s">
        <v>5537</v>
      </c>
      <c r="R287" s="93">
        <v>50000000</v>
      </c>
      <c r="T287" s="210" t="s">
        <v>5143</v>
      </c>
      <c r="U287" s="210">
        <v>2815</v>
      </c>
      <c r="V287" s="111">
        <v>461.79</v>
      </c>
      <c r="W287" s="111">
        <f t="shared" si="73"/>
        <v>1299938.8500000001</v>
      </c>
      <c r="X287" s="36" t="s">
        <v>452</v>
      </c>
      <c r="AH287" s="97">
        <v>7</v>
      </c>
      <c r="AI287" s="97" t="s">
        <v>4288</v>
      </c>
      <c r="AJ287" s="115">
        <v>-95000</v>
      </c>
      <c r="AK287" s="97">
        <v>6</v>
      </c>
      <c r="AL287" s="97">
        <f t="shared" si="74"/>
        <v>910</v>
      </c>
      <c r="AM287" s="97">
        <f t="shared" si="75"/>
        <v>-86450000</v>
      </c>
      <c r="AN287" s="97"/>
    </row>
    <row r="288" spans="7:40">
      <c r="G288" s="210" t="s">
        <v>5770</v>
      </c>
      <c r="H288" s="111">
        <v>2143469.938015</v>
      </c>
      <c r="O288" t="s">
        <v>25</v>
      </c>
      <c r="Q288" s="97" t="s">
        <v>4212</v>
      </c>
      <c r="R288" s="93">
        <v>2749471.1668000002</v>
      </c>
      <c r="T288" s="210" t="s">
        <v>5143</v>
      </c>
      <c r="U288" s="210">
        <v>1581</v>
      </c>
      <c r="V288" s="111">
        <v>461.79</v>
      </c>
      <c r="W288" s="111">
        <f t="shared" si="73"/>
        <v>730089.99</v>
      </c>
      <c r="X288" s="36" t="s">
        <v>452</v>
      </c>
      <c r="Y288" t="s">
        <v>25</v>
      </c>
      <c r="AH288" s="97">
        <v>8</v>
      </c>
      <c r="AI288" s="97" t="s">
        <v>4289</v>
      </c>
      <c r="AJ288" s="115">
        <v>232000</v>
      </c>
      <c r="AK288" s="97">
        <v>7</v>
      </c>
      <c r="AL288" s="97">
        <f t="shared" si="74"/>
        <v>904</v>
      </c>
      <c r="AM288" s="97">
        <f t="shared" si="75"/>
        <v>209728000</v>
      </c>
      <c r="AN288" s="97"/>
    </row>
    <row r="289" spans="7:44">
      <c r="G289" s="210" t="s">
        <v>5783</v>
      </c>
      <c r="H289" s="111">
        <v>3085460.5177150001</v>
      </c>
      <c r="Q289" s="97" t="s">
        <v>5629</v>
      </c>
      <c r="R289" s="93">
        <v>-680940.07019999996</v>
      </c>
      <c r="T289" s="210" t="s">
        <v>977</v>
      </c>
      <c r="U289" s="210">
        <v>41</v>
      </c>
      <c r="V289" s="111">
        <v>514.48099999999999</v>
      </c>
      <c r="W289" s="111">
        <f t="shared" si="73"/>
        <v>21093.721000000001</v>
      </c>
      <c r="X289" s="36" t="s">
        <v>5128</v>
      </c>
      <c r="AH289" s="97">
        <v>9</v>
      </c>
      <c r="AI289" s="97" t="s">
        <v>4267</v>
      </c>
      <c r="AJ289" s="115">
        <v>13000000</v>
      </c>
      <c r="AK289" s="97">
        <v>2</v>
      </c>
      <c r="AL289" s="97">
        <f t="shared" si="74"/>
        <v>897</v>
      </c>
      <c r="AM289" s="97">
        <f t="shared" si="75"/>
        <v>11661000000</v>
      </c>
      <c r="AN289" s="97"/>
    </row>
    <row r="290" spans="7:44">
      <c r="G290" s="210" t="s">
        <v>5785</v>
      </c>
      <c r="H290" s="111">
        <v>8261456.790906</v>
      </c>
      <c r="Q290" s="97" t="s">
        <v>5629</v>
      </c>
      <c r="R290" s="93">
        <v>-48684800.338199995</v>
      </c>
      <c r="T290" s="210" t="s">
        <v>4256</v>
      </c>
      <c r="U290" s="210">
        <v>71</v>
      </c>
      <c r="V290" s="111">
        <v>482.57</v>
      </c>
      <c r="W290" s="111">
        <f t="shared" si="73"/>
        <v>34262.47</v>
      </c>
      <c r="X290" s="36" t="s">
        <v>5128</v>
      </c>
      <c r="AH290" s="97">
        <v>10</v>
      </c>
      <c r="AI290" s="97" t="s">
        <v>4290</v>
      </c>
      <c r="AJ290" s="115">
        <v>10000000</v>
      </c>
      <c r="AK290" s="97">
        <v>3</v>
      </c>
      <c r="AL290" s="97">
        <f t="shared" si="74"/>
        <v>895</v>
      </c>
      <c r="AM290" s="97">
        <f t="shared" si="75"/>
        <v>8950000000</v>
      </c>
      <c r="AN290" s="97"/>
    </row>
    <row r="291" spans="7:44">
      <c r="G291" s="210" t="s">
        <v>5787</v>
      </c>
      <c r="H291" s="111">
        <v>6572373.7593120001</v>
      </c>
      <c r="J291" t="s">
        <v>25</v>
      </c>
      <c r="Q291" s="97" t="s">
        <v>5653</v>
      </c>
      <c r="R291" s="93">
        <v>1500000</v>
      </c>
      <c r="S291" t="s">
        <v>25</v>
      </c>
      <c r="T291" s="210" t="s">
        <v>5163</v>
      </c>
      <c r="U291" s="210">
        <v>-250</v>
      </c>
      <c r="V291" s="111">
        <v>487.125</v>
      </c>
      <c r="W291" s="111">
        <f t="shared" si="73"/>
        <v>-121781.25</v>
      </c>
      <c r="X291" s="36" t="s">
        <v>4409</v>
      </c>
      <c r="AH291" s="97">
        <v>11</v>
      </c>
      <c r="AI291" s="97" t="s">
        <v>4279</v>
      </c>
      <c r="AJ291" s="115">
        <v>3400000</v>
      </c>
      <c r="AK291" s="97">
        <v>9</v>
      </c>
      <c r="AL291" s="97">
        <f t="shared" si="74"/>
        <v>892</v>
      </c>
      <c r="AM291" s="97">
        <f t="shared" si="75"/>
        <v>3032800000</v>
      </c>
      <c r="AN291" s="97"/>
    </row>
    <row r="292" spans="7:44">
      <c r="G292" s="210" t="s">
        <v>5792</v>
      </c>
      <c r="H292" s="111">
        <v>2893243.5730909999</v>
      </c>
      <c r="Q292" s="97" t="s">
        <v>965</v>
      </c>
      <c r="R292" s="93">
        <v>11221062</v>
      </c>
      <c r="S292" t="s">
        <v>25</v>
      </c>
      <c r="T292" s="210" t="s">
        <v>5163</v>
      </c>
      <c r="U292" s="210">
        <v>250</v>
      </c>
      <c r="V292" s="111">
        <v>487.125</v>
      </c>
      <c r="W292" s="111">
        <f t="shared" si="73"/>
        <v>121781.25</v>
      </c>
      <c r="X292" s="36" t="s">
        <v>744</v>
      </c>
      <c r="AH292" s="97">
        <v>12</v>
      </c>
      <c r="AI292" s="97" t="s">
        <v>4316</v>
      </c>
      <c r="AJ292" s="115">
        <v>-8736514</v>
      </c>
      <c r="AK292" s="97">
        <v>1</v>
      </c>
      <c r="AL292" s="97">
        <f>AK292+AL293</f>
        <v>883</v>
      </c>
      <c r="AM292" s="97">
        <f t="shared" si="75"/>
        <v>-7714341862</v>
      </c>
      <c r="AN292" s="97"/>
    </row>
    <row r="293" spans="7:44">
      <c r="G293" s="210" t="s">
        <v>5794</v>
      </c>
      <c r="H293" s="111">
        <v>94992058.939007998</v>
      </c>
      <c r="Q293" s="97" t="s">
        <v>5897</v>
      </c>
      <c r="R293" s="93">
        <v>20031495.928431001</v>
      </c>
      <c r="T293" s="210" t="s">
        <v>5171</v>
      </c>
      <c r="U293" s="210">
        <v>-1439</v>
      </c>
      <c r="V293" s="111">
        <v>486.53068999999999</v>
      </c>
      <c r="W293" s="111">
        <f t="shared" si="73"/>
        <v>-700117.66290999996</v>
      </c>
      <c r="X293" s="36" t="s">
        <v>4409</v>
      </c>
      <c r="AH293" s="97">
        <v>13</v>
      </c>
      <c r="AI293" s="97" t="s">
        <v>4317</v>
      </c>
      <c r="AJ293" s="115">
        <v>555000</v>
      </c>
      <c r="AK293" s="97">
        <v>5</v>
      </c>
      <c r="AL293" s="97">
        <f t="shared" ref="AL293:AL309" si="76">AK293+AL294</f>
        <v>882</v>
      </c>
      <c r="AM293" s="97">
        <f t="shared" si="75"/>
        <v>489510000</v>
      </c>
      <c r="AN293" s="97"/>
    </row>
    <row r="294" spans="7:44">
      <c r="G294" s="210" t="s">
        <v>5801</v>
      </c>
      <c r="H294" s="111">
        <v>275021.925965</v>
      </c>
      <c r="J294" t="s">
        <v>25</v>
      </c>
      <c r="Q294" s="97" t="s">
        <v>5971</v>
      </c>
      <c r="R294" s="93">
        <v>16643927.89773</v>
      </c>
      <c r="S294" t="s">
        <v>25</v>
      </c>
      <c r="T294" s="210" t="s">
        <v>5171</v>
      </c>
      <c r="U294" s="210">
        <v>411</v>
      </c>
      <c r="V294" s="111">
        <v>486.53068999999999</v>
      </c>
      <c r="W294" s="111">
        <f t="shared" si="73"/>
        <v>199964.11358999999</v>
      </c>
      <c r="X294" s="36" t="s">
        <v>744</v>
      </c>
      <c r="Y294" t="s">
        <v>25</v>
      </c>
      <c r="AH294" s="97">
        <v>14</v>
      </c>
      <c r="AI294" s="97" t="s">
        <v>4341</v>
      </c>
      <c r="AJ294" s="115">
        <v>-448308</v>
      </c>
      <c r="AK294" s="97">
        <v>6</v>
      </c>
      <c r="AL294" s="97">
        <f t="shared" si="76"/>
        <v>877</v>
      </c>
      <c r="AM294" s="97">
        <f t="shared" si="75"/>
        <v>-393166116</v>
      </c>
      <c r="AN294" s="97"/>
    </row>
    <row r="295" spans="7:44">
      <c r="G295" s="210" t="s">
        <v>5809</v>
      </c>
      <c r="H295" s="111">
        <v>327451.9203</v>
      </c>
      <c r="Q295" s="97" t="s">
        <v>5972</v>
      </c>
      <c r="R295" s="93">
        <v>33355467.51292</v>
      </c>
      <c r="S295" t="s">
        <v>25</v>
      </c>
      <c r="T295" s="210" t="s">
        <v>5141</v>
      </c>
      <c r="U295" s="210">
        <v>-4290</v>
      </c>
      <c r="V295" s="111">
        <v>497.57670000000002</v>
      </c>
      <c r="W295" s="111">
        <f t="shared" si="73"/>
        <v>-2134604.0430000001</v>
      </c>
      <c r="X295" s="36" t="s">
        <v>452</v>
      </c>
      <c r="AH295" s="97">
        <v>15</v>
      </c>
      <c r="AI295" s="97" t="s">
        <v>4368</v>
      </c>
      <c r="AJ295" s="115">
        <v>33225</v>
      </c>
      <c r="AK295" s="97">
        <v>0</v>
      </c>
      <c r="AL295" s="97">
        <f t="shared" si="76"/>
        <v>871</v>
      </c>
      <c r="AM295" s="97">
        <f t="shared" si="75"/>
        <v>28938975</v>
      </c>
      <c r="AN295" s="97"/>
    </row>
    <row r="296" spans="7:44">
      <c r="G296" s="210" t="s">
        <v>5822</v>
      </c>
      <c r="H296" s="111">
        <v>260081.94096800001</v>
      </c>
      <c r="J296" t="s">
        <v>25</v>
      </c>
      <c r="O296" t="s">
        <v>25</v>
      </c>
      <c r="Q296" s="97"/>
      <c r="R296" s="93"/>
      <c r="T296" s="210" t="s">
        <v>5178</v>
      </c>
      <c r="U296" s="210">
        <v>-644</v>
      </c>
      <c r="V296" s="111">
        <v>494.76464499999997</v>
      </c>
      <c r="W296" s="111">
        <f t="shared" si="73"/>
        <v>-318628.43137999997</v>
      </c>
      <c r="X296" s="36" t="s">
        <v>452</v>
      </c>
      <c r="AH296" s="147">
        <v>16</v>
      </c>
      <c r="AI296" s="147" t="s">
        <v>4368</v>
      </c>
      <c r="AJ296" s="186">
        <v>4098523</v>
      </c>
      <c r="AK296" s="147">
        <v>2</v>
      </c>
      <c r="AL296" s="147">
        <f t="shared" si="76"/>
        <v>871</v>
      </c>
      <c r="AM296" s="147">
        <f t="shared" si="75"/>
        <v>3569813533</v>
      </c>
      <c r="AN296" s="147" t="s">
        <v>650</v>
      </c>
    </row>
    <row r="297" spans="7:44">
      <c r="G297" s="210" t="s">
        <v>5833</v>
      </c>
      <c r="H297" s="111">
        <v>2909284.5308940001</v>
      </c>
      <c r="J297" t="s">
        <v>25</v>
      </c>
      <c r="Q297" s="97"/>
      <c r="R297" s="93"/>
      <c r="S297" t="s">
        <v>25</v>
      </c>
      <c r="T297" s="210" t="s">
        <v>5181</v>
      </c>
      <c r="U297" s="210">
        <v>-112</v>
      </c>
      <c r="V297" s="111">
        <v>485.78</v>
      </c>
      <c r="W297" s="111">
        <f t="shared" si="73"/>
        <v>-54407.360000000001</v>
      </c>
      <c r="X297" s="36" t="s">
        <v>452</v>
      </c>
      <c r="AH297" s="147">
        <v>17</v>
      </c>
      <c r="AI297" s="147" t="s">
        <v>4379</v>
      </c>
      <c r="AJ297" s="186">
        <v>-1000000</v>
      </c>
      <c r="AK297" s="147">
        <v>7</v>
      </c>
      <c r="AL297" s="147">
        <f t="shared" si="76"/>
        <v>869</v>
      </c>
      <c r="AM297" s="147">
        <f t="shared" si="75"/>
        <v>-869000000</v>
      </c>
      <c r="AN297" s="147" t="s">
        <v>650</v>
      </c>
    </row>
    <row r="298" spans="7:44">
      <c r="G298" s="210" t="s">
        <v>5834</v>
      </c>
      <c r="H298" s="111">
        <v>37723205.094084002</v>
      </c>
      <c r="J298" t="s">
        <v>25</v>
      </c>
      <c r="P298" t="s">
        <v>25</v>
      </c>
      <c r="Q298" s="97" t="s">
        <v>25</v>
      </c>
      <c r="R298" s="93"/>
      <c r="T298" s="210" t="s">
        <v>5181</v>
      </c>
      <c r="U298" s="210">
        <v>123</v>
      </c>
      <c r="V298" s="111">
        <v>485.78</v>
      </c>
      <c r="W298" s="111">
        <f t="shared" si="73"/>
        <v>59750.939999999995</v>
      </c>
      <c r="X298" s="36" t="s">
        <v>744</v>
      </c>
      <c r="AH298" s="147">
        <v>18</v>
      </c>
      <c r="AI298" s="147" t="s">
        <v>4399</v>
      </c>
      <c r="AJ298" s="186">
        <v>750000</v>
      </c>
      <c r="AK298" s="147">
        <v>1</v>
      </c>
      <c r="AL298" s="147">
        <f t="shared" si="76"/>
        <v>862</v>
      </c>
      <c r="AM298" s="147">
        <f t="shared" si="75"/>
        <v>646500000</v>
      </c>
      <c r="AN298" s="147" t="s">
        <v>650</v>
      </c>
    </row>
    <row r="299" spans="7:44">
      <c r="G299" s="210" t="s">
        <v>5835</v>
      </c>
      <c r="H299" s="111">
        <v>1500094.75168</v>
      </c>
      <c r="Q299" s="97"/>
      <c r="R299" s="93">
        <f>SUM(R242:R298)</f>
        <v>270069509.09748101</v>
      </c>
      <c r="T299" s="210" t="s">
        <v>5181</v>
      </c>
      <c r="U299" s="210">
        <v>-123</v>
      </c>
      <c r="V299" s="111">
        <v>485.78</v>
      </c>
      <c r="W299" s="111">
        <f t="shared" si="73"/>
        <v>-59750.939999999995</v>
      </c>
      <c r="X299" s="36" t="s">
        <v>4409</v>
      </c>
      <c r="AH299" s="193">
        <v>19</v>
      </c>
      <c r="AI299" s="193" t="s">
        <v>4400</v>
      </c>
      <c r="AJ299" s="194">
        <v>-604152</v>
      </c>
      <c r="AK299" s="193">
        <v>0</v>
      </c>
      <c r="AL299" s="193">
        <f t="shared" si="76"/>
        <v>861</v>
      </c>
      <c r="AM299" s="193">
        <f t="shared" si="75"/>
        <v>-520174872</v>
      </c>
      <c r="AN299" s="193" t="s">
        <v>650</v>
      </c>
    </row>
    <row r="300" spans="7:44">
      <c r="G300" s="210" t="s">
        <v>5836</v>
      </c>
      <c r="H300" s="111">
        <v>7230628.4378079996</v>
      </c>
      <c r="R300" s="97" t="s">
        <v>6</v>
      </c>
      <c r="T300" s="210" t="s">
        <v>5224</v>
      </c>
      <c r="U300" s="210">
        <v>32367</v>
      </c>
      <c r="V300" s="111">
        <v>556.12900000000002</v>
      </c>
      <c r="W300" s="111">
        <f t="shared" si="73"/>
        <v>18000227.343000002</v>
      </c>
      <c r="X300" s="36" t="s">
        <v>452</v>
      </c>
      <c r="AH300" s="97">
        <v>20</v>
      </c>
      <c r="AI300" s="97" t="s">
        <v>4401</v>
      </c>
      <c r="AJ300" s="115">
        <v>-587083</v>
      </c>
      <c r="AK300" s="97">
        <v>4</v>
      </c>
      <c r="AL300" s="97">
        <f t="shared" si="76"/>
        <v>861</v>
      </c>
      <c r="AM300" s="97">
        <f t="shared" si="75"/>
        <v>-505478463</v>
      </c>
      <c r="AN300" s="97"/>
      <c r="AR300" t="s">
        <v>25</v>
      </c>
    </row>
    <row r="301" spans="7:44">
      <c r="G301" s="210" t="s">
        <v>5838</v>
      </c>
      <c r="H301" s="111">
        <v>29767389.390390001</v>
      </c>
      <c r="J301" t="s">
        <v>25</v>
      </c>
      <c r="R301" t="s">
        <v>25</v>
      </c>
      <c r="S301" t="s">
        <v>25</v>
      </c>
      <c r="T301" s="210" t="s">
        <v>5240</v>
      </c>
      <c r="U301" s="210">
        <v>1254</v>
      </c>
      <c r="V301" s="111">
        <v>558.24400000000003</v>
      </c>
      <c r="W301" s="111">
        <f t="shared" si="73"/>
        <v>700037.97600000002</v>
      </c>
      <c r="X301" s="36" t="s">
        <v>4409</v>
      </c>
      <c r="AH301" s="193">
        <v>21</v>
      </c>
      <c r="AI301" s="193" t="s">
        <v>4402</v>
      </c>
      <c r="AJ301" s="194">
        <v>-754351</v>
      </c>
      <c r="AK301" s="193">
        <v>0</v>
      </c>
      <c r="AL301" s="147">
        <f t="shared" si="76"/>
        <v>857</v>
      </c>
      <c r="AM301" s="193">
        <f t="shared" si="75"/>
        <v>-646478807</v>
      </c>
      <c r="AN301" s="193" t="s">
        <v>650</v>
      </c>
    </row>
    <row r="302" spans="7:44">
      <c r="G302" s="210" t="s">
        <v>5840</v>
      </c>
      <c r="H302" s="111">
        <v>151560.25597</v>
      </c>
      <c r="Q302" s="97" t="s">
        <v>452</v>
      </c>
      <c r="T302" s="166" t="s">
        <v>5240</v>
      </c>
      <c r="U302" s="210">
        <v>-358</v>
      </c>
      <c r="V302" s="111">
        <v>558.24400000000003</v>
      </c>
      <c r="W302" s="111">
        <f t="shared" si="73"/>
        <v>-199851.35200000001</v>
      </c>
      <c r="X302" s="36" t="s">
        <v>744</v>
      </c>
      <c r="Z302" t="s">
        <v>25</v>
      </c>
      <c r="AH302" s="97">
        <v>22</v>
      </c>
      <c r="AI302" s="97" t="s">
        <v>4402</v>
      </c>
      <c r="AJ302" s="115">
        <v>-189619</v>
      </c>
      <c r="AK302" s="97">
        <v>15</v>
      </c>
      <c r="AL302" s="97">
        <f t="shared" si="76"/>
        <v>857</v>
      </c>
      <c r="AM302" s="97">
        <f t="shared" si="75"/>
        <v>-162503483</v>
      </c>
      <c r="AN302" s="97"/>
    </row>
    <row r="303" spans="7:44">
      <c r="G303" s="210" t="s">
        <v>5841</v>
      </c>
      <c r="H303" s="111">
        <v>481318.88078800001</v>
      </c>
      <c r="Q303" s="97" t="s">
        <v>4402</v>
      </c>
      <c r="R303" s="97"/>
      <c r="T303" s="187" t="s">
        <v>5259</v>
      </c>
      <c r="U303" s="187">
        <v>63259</v>
      </c>
      <c r="V303" s="186">
        <v>632.31960000000004</v>
      </c>
      <c r="W303" s="186">
        <f t="shared" si="73"/>
        <v>39999905.576400004</v>
      </c>
      <c r="X303" s="275" t="s">
        <v>1071</v>
      </c>
      <c r="AH303" s="193">
        <v>23</v>
      </c>
      <c r="AI303" s="193" t="s">
        <v>4464</v>
      </c>
      <c r="AJ303" s="186">
        <v>7100</v>
      </c>
      <c r="AK303" s="193">
        <v>0</v>
      </c>
      <c r="AL303" s="147">
        <f t="shared" si="76"/>
        <v>842</v>
      </c>
      <c r="AM303" s="193">
        <f t="shared" si="75"/>
        <v>5978200</v>
      </c>
      <c r="AN303" s="193" t="s">
        <v>650</v>
      </c>
    </row>
    <row r="304" spans="7:44">
      <c r="G304" s="210" t="s">
        <v>5845</v>
      </c>
      <c r="H304" s="111">
        <v>146277.56820000001</v>
      </c>
      <c r="Q304" s="97" t="s">
        <v>4448</v>
      </c>
      <c r="R304" s="93">
        <v>63115000</v>
      </c>
      <c r="T304" s="19" t="s">
        <v>5263</v>
      </c>
      <c r="U304" s="19">
        <v>-1278</v>
      </c>
      <c r="V304" s="115">
        <v>625.98</v>
      </c>
      <c r="W304" s="115">
        <f t="shared" si="73"/>
        <v>-800002.44000000006</v>
      </c>
      <c r="X304" s="276" t="s">
        <v>5264</v>
      </c>
      <c r="AH304" s="20">
        <v>24</v>
      </c>
      <c r="AI304" s="20" t="s">
        <v>4464</v>
      </c>
      <c r="AJ304" s="115">
        <v>-147902</v>
      </c>
      <c r="AK304" s="20">
        <v>3</v>
      </c>
      <c r="AL304" s="97">
        <f t="shared" si="76"/>
        <v>842</v>
      </c>
      <c r="AM304" s="20">
        <f t="shared" si="75"/>
        <v>-124533484</v>
      </c>
      <c r="AN304" s="20"/>
    </row>
    <row r="305" spans="7:40">
      <c r="G305" s="210" t="s">
        <v>5860</v>
      </c>
      <c r="H305" s="111">
        <v>424693.40162399999</v>
      </c>
      <c r="Q305" s="97" t="s">
        <v>4456</v>
      </c>
      <c r="R305" s="93">
        <v>13300000</v>
      </c>
      <c r="T305" s="19" t="s">
        <v>5268</v>
      </c>
      <c r="U305" s="19">
        <v>32049</v>
      </c>
      <c r="V305" s="115">
        <v>624.04600000000005</v>
      </c>
      <c r="W305" s="115">
        <f t="shared" si="73"/>
        <v>20000050.254000001</v>
      </c>
      <c r="X305" s="276" t="s">
        <v>5133</v>
      </c>
      <c r="Z305" t="s">
        <v>25</v>
      </c>
      <c r="AH305" s="147">
        <v>25</v>
      </c>
      <c r="AI305" s="147" t="s">
        <v>4472</v>
      </c>
      <c r="AJ305" s="186">
        <v>-37200</v>
      </c>
      <c r="AK305" s="147">
        <v>4</v>
      </c>
      <c r="AL305" s="147">
        <f t="shared" si="76"/>
        <v>839</v>
      </c>
      <c r="AM305" s="193">
        <f t="shared" si="75"/>
        <v>-31210800</v>
      </c>
      <c r="AN305" s="147" t="s">
        <v>650</v>
      </c>
    </row>
    <row r="306" spans="7:40" ht="30">
      <c r="G306" s="210" t="s">
        <v>5863</v>
      </c>
      <c r="H306" s="111">
        <v>558320.40202399995</v>
      </c>
      <c r="Q306" s="97" t="s">
        <v>4558</v>
      </c>
      <c r="R306" s="93">
        <v>2269000</v>
      </c>
      <c r="T306" s="19" t="s">
        <v>5275</v>
      </c>
      <c r="U306" s="19">
        <v>45094</v>
      </c>
      <c r="V306" s="115">
        <v>614.13559759999998</v>
      </c>
      <c r="W306" s="115">
        <f t="shared" si="73"/>
        <v>27693830.6381744</v>
      </c>
      <c r="X306" s="276" t="s">
        <v>5277</v>
      </c>
      <c r="Y306" t="s">
        <v>25</v>
      </c>
      <c r="AH306" s="97">
        <v>26</v>
      </c>
      <c r="AI306" s="97" t="s">
        <v>4502</v>
      </c>
      <c r="AJ306" s="115">
        <v>-372326</v>
      </c>
      <c r="AK306" s="97">
        <v>21</v>
      </c>
      <c r="AL306" s="97">
        <f t="shared" si="76"/>
        <v>835</v>
      </c>
      <c r="AM306" s="20">
        <f t="shared" si="75"/>
        <v>-310892210</v>
      </c>
      <c r="AN306" s="97"/>
    </row>
    <row r="307" spans="7:40" ht="30">
      <c r="G307" s="210" t="s">
        <v>5865</v>
      </c>
      <c r="H307" s="111">
        <v>207642.22201140001</v>
      </c>
      <c r="J307" t="s">
        <v>25</v>
      </c>
      <c r="Q307" s="97" t="s">
        <v>4567</v>
      </c>
      <c r="R307" s="93">
        <v>25071612</v>
      </c>
      <c r="T307" s="19" t="s">
        <v>5302</v>
      </c>
      <c r="U307" s="19">
        <v>-11804</v>
      </c>
      <c r="V307" s="115">
        <v>762.46640000000002</v>
      </c>
      <c r="W307" s="115">
        <f t="shared" si="73"/>
        <v>-9000153.3856000006</v>
      </c>
      <c r="X307" s="276" t="s">
        <v>5304</v>
      </c>
      <c r="AH307" s="97">
        <v>27</v>
      </c>
      <c r="AI307" s="97" t="s">
        <v>4549</v>
      </c>
      <c r="AJ307" s="115">
        <v>235062</v>
      </c>
      <c r="AK307" s="97">
        <v>0</v>
      </c>
      <c r="AL307" s="97">
        <f t="shared" si="76"/>
        <v>814</v>
      </c>
      <c r="AM307" s="20">
        <f t="shared" si="75"/>
        <v>191340468</v>
      </c>
      <c r="AN307" s="97"/>
    </row>
    <row r="308" spans="7:40">
      <c r="G308" s="210" t="s">
        <v>5908</v>
      </c>
      <c r="H308" s="111">
        <v>637977.33504399995</v>
      </c>
      <c r="J308" t="s">
        <v>25</v>
      </c>
      <c r="P308" t="s">
        <v>25</v>
      </c>
      <c r="Q308" s="97" t="s">
        <v>4568</v>
      </c>
      <c r="R308" s="93">
        <v>42236984</v>
      </c>
      <c r="T308" s="19" t="s">
        <v>5346</v>
      </c>
      <c r="U308" s="19">
        <v>844</v>
      </c>
      <c r="V308" s="115">
        <v>830</v>
      </c>
      <c r="W308" s="115">
        <f t="shared" si="73"/>
        <v>700520</v>
      </c>
      <c r="X308" s="276" t="s">
        <v>4409</v>
      </c>
      <c r="Y308" t="s">
        <v>25</v>
      </c>
      <c r="AH308" s="147">
        <v>28</v>
      </c>
      <c r="AI308" s="147" t="s">
        <v>4549</v>
      </c>
      <c r="AJ308" s="186">
        <v>235062</v>
      </c>
      <c r="AK308" s="147">
        <v>9</v>
      </c>
      <c r="AL308" s="97">
        <f t="shared" si="76"/>
        <v>814</v>
      </c>
      <c r="AM308" s="147">
        <f t="shared" si="75"/>
        <v>191340468</v>
      </c>
      <c r="AN308" s="147" t="s">
        <v>650</v>
      </c>
    </row>
    <row r="309" spans="7:40">
      <c r="G309" s="210" t="s">
        <v>5909</v>
      </c>
      <c r="H309" s="111">
        <v>466552.25632400002</v>
      </c>
      <c r="J309" t="s">
        <v>25</v>
      </c>
      <c r="P309" t="s">
        <v>25</v>
      </c>
      <c r="Q309" s="97" t="s">
        <v>4591</v>
      </c>
      <c r="R309" s="93">
        <v>19663646</v>
      </c>
      <c r="T309" s="19" t="s">
        <v>5350</v>
      </c>
      <c r="U309" s="19">
        <v>8662</v>
      </c>
      <c r="V309" s="115">
        <v>832.57011999999997</v>
      </c>
      <c r="W309" s="115">
        <f t="shared" si="73"/>
        <v>7211722.3794399993</v>
      </c>
      <c r="X309" s="276" t="s">
        <v>5128</v>
      </c>
      <c r="Z309" t="s">
        <v>25</v>
      </c>
      <c r="AA309" t="s">
        <v>25</v>
      </c>
      <c r="AH309" s="147">
        <v>29</v>
      </c>
      <c r="AI309" s="147" t="s">
        <v>4568</v>
      </c>
      <c r="AJ309" s="186">
        <v>450000</v>
      </c>
      <c r="AK309" s="147">
        <v>0</v>
      </c>
      <c r="AL309" s="97">
        <f t="shared" si="76"/>
        <v>805</v>
      </c>
      <c r="AM309" s="147">
        <f t="shared" si="75"/>
        <v>362250000</v>
      </c>
      <c r="AN309" s="147" t="s">
        <v>650</v>
      </c>
    </row>
    <row r="310" spans="7:40" ht="30">
      <c r="G310" s="210" t="s">
        <v>5911</v>
      </c>
      <c r="H310" s="111">
        <v>189134.85153000001</v>
      </c>
      <c r="Q310" s="97" t="s">
        <v>4602</v>
      </c>
      <c r="R310" s="93">
        <v>4374525</v>
      </c>
      <c r="T310" s="19" t="s">
        <v>5351</v>
      </c>
      <c r="U310" s="19">
        <v>10253</v>
      </c>
      <c r="V310" s="115">
        <v>827.2568</v>
      </c>
      <c r="W310" s="115">
        <f t="shared" si="73"/>
        <v>8481863.9704</v>
      </c>
      <c r="X310" s="276" t="s">
        <v>5358</v>
      </c>
      <c r="AH310" s="20">
        <v>30</v>
      </c>
      <c r="AI310" s="20" t="s">
        <v>4568</v>
      </c>
      <c r="AJ310" s="115">
        <v>450000</v>
      </c>
      <c r="AK310" s="20">
        <v>22</v>
      </c>
      <c r="AL310" s="97">
        <f>AK310+AL311</f>
        <v>805</v>
      </c>
      <c r="AM310" s="20">
        <f t="shared" si="75"/>
        <v>362250000</v>
      </c>
      <c r="AN310" s="20"/>
    </row>
    <row r="311" spans="7:40">
      <c r="G311" s="210" t="s">
        <v>5918</v>
      </c>
      <c r="H311" s="111">
        <v>564888.82799599995</v>
      </c>
      <c r="J311" t="s">
        <v>25</v>
      </c>
      <c r="K311" t="s">
        <v>25</v>
      </c>
      <c r="Q311" s="97" t="s">
        <v>4604</v>
      </c>
      <c r="R311" s="93">
        <v>6550580</v>
      </c>
      <c r="T311" s="242" t="s">
        <v>5359</v>
      </c>
      <c r="U311" s="242">
        <v>-33077</v>
      </c>
      <c r="V311" s="243">
        <v>786.02973999999995</v>
      </c>
      <c r="W311" s="243">
        <f t="shared" si="73"/>
        <v>-25999505.70998</v>
      </c>
      <c r="X311" s="284" t="s">
        <v>5362</v>
      </c>
      <c r="AH311" s="147">
        <v>31</v>
      </c>
      <c r="AI311" s="147" t="s">
        <v>4634</v>
      </c>
      <c r="AJ311" s="186">
        <v>300000</v>
      </c>
      <c r="AK311" s="147">
        <v>0</v>
      </c>
      <c r="AL311" s="147">
        <f t="shared" ref="AL311:AL326" si="77">AK311+AL312</f>
        <v>783</v>
      </c>
      <c r="AM311" s="147">
        <f t="shared" ref="AM311:AM320" si="78">AJ311*AL311</f>
        <v>234900000</v>
      </c>
      <c r="AN311" s="147"/>
    </row>
    <row r="312" spans="7:40" ht="30">
      <c r="G312" s="210"/>
      <c r="H312" s="111"/>
      <c r="J312" t="s">
        <v>25</v>
      </c>
      <c r="Q312" s="97" t="s">
        <v>4621</v>
      </c>
      <c r="R312" s="93">
        <v>7054895</v>
      </c>
      <c r="T312" s="19" t="s">
        <v>5359</v>
      </c>
      <c r="U312" s="19">
        <v>-33077</v>
      </c>
      <c r="V312" s="115">
        <v>786.02973999999995</v>
      </c>
      <c r="W312" s="115">
        <f t="shared" si="73"/>
        <v>-25999505.70998</v>
      </c>
      <c r="X312" s="276" t="s">
        <v>5363</v>
      </c>
      <c r="Y312" t="s">
        <v>25</v>
      </c>
      <c r="AH312" s="119">
        <v>32</v>
      </c>
      <c r="AI312" s="119" t="s">
        <v>4634</v>
      </c>
      <c r="AJ312" s="77">
        <v>288936</v>
      </c>
      <c r="AK312" s="119">
        <v>3</v>
      </c>
      <c r="AL312" s="119">
        <f t="shared" si="77"/>
        <v>783</v>
      </c>
      <c r="AM312" s="119">
        <f t="shared" si="78"/>
        <v>226236888</v>
      </c>
      <c r="AN312" s="202" t="s">
        <v>4645</v>
      </c>
    </row>
    <row r="313" spans="7:40">
      <c r="G313" s="210"/>
      <c r="H313" s="111"/>
      <c r="J313" t="s">
        <v>25</v>
      </c>
      <c r="Q313" s="97" t="s">
        <v>4632</v>
      </c>
      <c r="R313" s="93">
        <v>2145814</v>
      </c>
      <c r="T313" s="19" t="s">
        <v>5359</v>
      </c>
      <c r="U313" s="19">
        <v>1983</v>
      </c>
      <c r="V313" s="115">
        <v>786.02973999999995</v>
      </c>
      <c r="W313" s="115">
        <f t="shared" si="73"/>
        <v>1558696.9744199999</v>
      </c>
      <c r="X313" s="276" t="s">
        <v>5128</v>
      </c>
      <c r="AH313" s="119">
        <v>33</v>
      </c>
      <c r="AI313" s="119" t="s">
        <v>4643</v>
      </c>
      <c r="AJ313" s="77">
        <v>17962491</v>
      </c>
      <c r="AK313" s="119">
        <v>1</v>
      </c>
      <c r="AL313" s="119">
        <f t="shared" si="77"/>
        <v>780</v>
      </c>
      <c r="AM313" s="119">
        <f t="shared" si="78"/>
        <v>14010742980</v>
      </c>
      <c r="AN313" s="119" t="s">
        <v>4650</v>
      </c>
    </row>
    <row r="314" spans="7:40">
      <c r="G314" s="210"/>
      <c r="H314" s="111"/>
      <c r="Q314" s="97" t="s">
        <v>4634</v>
      </c>
      <c r="R314" s="93">
        <v>4369730</v>
      </c>
      <c r="T314" s="242" t="s">
        <v>5364</v>
      </c>
      <c r="U314" s="242">
        <v>-119753</v>
      </c>
      <c r="V314" s="243">
        <v>800.81560000000002</v>
      </c>
      <c r="W314" s="243">
        <f t="shared" si="73"/>
        <v>-95900070.546800002</v>
      </c>
      <c r="X314" s="284" t="s">
        <v>5362</v>
      </c>
      <c r="AH314" s="119">
        <v>34</v>
      </c>
      <c r="AI314" s="119" t="s">
        <v>3668</v>
      </c>
      <c r="AJ314" s="77">
        <v>18363511</v>
      </c>
      <c r="AK314" s="119">
        <v>1</v>
      </c>
      <c r="AL314" s="119">
        <f t="shared" si="77"/>
        <v>779</v>
      </c>
      <c r="AM314" s="119">
        <f t="shared" si="78"/>
        <v>14305175069</v>
      </c>
      <c r="AN314" s="119" t="s">
        <v>4650</v>
      </c>
    </row>
    <row r="315" spans="7:40">
      <c r="G315" s="210"/>
      <c r="H315" s="111"/>
      <c r="J315" t="s">
        <v>25</v>
      </c>
      <c r="Q315" s="97" t="s">
        <v>4643</v>
      </c>
      <c r="R315" s="93">
        <v>8739459</v>
      </c>
      <c r="T315" s="19" t="s">
        <v>5364</v>
      </c>
      <c r="U315" s="19">
        <v>-119753</v>
      </c>
      <c r="V315" s="115">
        <v>800.81560000000002</v>
      </c>
      <c r="W315" s="115">
        <f t="shared" si="73"/>
        <v>-95900070.546800002</v>
      </c>
      <c r="X315" s="276" t="s">
        <v>5363</v>
      </c>
      <c r="AA315" t="s">
        <v>25</v>
      </c>
      <c r="AH315" s="119">
        <v>35</v>
      </c>
      <c r="AI315" s="119" t="s">
        <v>4655</v>
      </c>
      <c r="AJ315" s="77">
        <v>23622417</v>
      </c>
      <c r="AK315" s="119">
        <v>5</v>
      </c>
      <c r="AL315" s="119">
        <f t="shared" si="77"/>
        <v>778</v>
      </c>
      <c r="AM315" s="119">
        <f t="shared" si="78"/>
        <v>18378240426</v>
      </c>
      <c r="AN315" s="119" t="s">
        <v>4657</v>
      </c>
    </row>
    <row r="316" spans="7:40">
      <c r="G316" s="210"/>
      <c r="H316" s="111"/>
      <c r="Q316" s="97" t="s">
        <v>3668</v>
      </c>
      <c r="R316" s="93">
        <v>6667654</v>
      </c>
      <c r="T316" s="19" t="s">
        <v>5364</v>
      </c>
      <c r="U316" s="19">
        <v>11291</v>
      </c>
      <c r="V316" s="115">
        <v>800.81560000000002</v>
      </c>
      <c r="W316" s="115">
        <f t="shared" si="73"/>
        <v>9042008.9396000002</v>
      </c>
      <c r="X316" s="276" t="s">
        <v>452</v>
      </c>
      <c r="AH316" s="119">
        <v>36</v>
      </c>
      <c r="AI316" s="119" t="s">
        <v>4670</v>
      </c>
      <c r="AJ316" s="77">
        <v>82496108</v>
      </c>
      <c r="AK316" s="119">
        <v>1</v>
      </c>
      <c r="AL316" s="119">
        <f t="shared" si="77"/>
        <v>773</v>
      </c>
      <c r="AM316" s="119">
        <f t="shared" si="78"/>
        <v>63769491484</v>
      </c>
      <c r="AN316" s="119" t="s">
        <v>4673</v>
      </c>
    </row>
    <row r="317" spans="7:40">
      <c r="G317" s="210"/>
      <c r="H317" s="111"/>
      <c r="Q317" s="97" t="s">
        <v>4655</v>
      </c>
      <c r="R317" s="93">
        <v>8981245</v>
      </c>
      <c r="S317" s="112"/>
      <c r="T317" s="187" t="s">
        <v>5365</v>
      </c>
      <c r="U317" s="187">
        <v>-35361</v>
      </c>
      <c r="V317" s="186">
        <v>818.697</v>
      </c>
      <c r="W317" s="186">
        <f t="shared" si="73"/>
        <v>-28949944.616999999</v>
      </c>
      <c r="X317" s="275" t="s">
        <v>5362</v>
      </c>
      <c r="Y317" t="s">
        <v>25</v>
      </c>
      <c r="AH317" s="119">
        <v>37</v>
      </c>
      <c r="AI317" s="119" t="s">
        <v>4672</v>
      </c>
      <c r="AJ317" s="77">
        <v>74657561</v>
      </c>
      <c r="AK317" s="119">
        <v>16</v>
      </c>
      <c r="AL317" s="119">
        <f t="shared" si="77"/>
        <v>772</v>
      </c>
      <c r="AM317" s="119">
        <f t="shared" si="78"/>
        <v>57635637092</v>
      </c>
      <c r="AN317" s="119" t="s">
        <v>4678</v>
      </c>
    </row>
    <row r="318" spans="7:40">
      <c r="G318" s="210"/>
      <c r="H318" s="111"/>
      <c r="Q318" s="97" t="s">
        <v>4658</v>
      </c>
      <c r="R318" s="93">
        <v>9181756</v>
      </c>
      <c r="T318" s="19" t="s">
        <v>5365</v>
      </c>
      <c r="U318" s="19">
        <v>-35361</v>
      </c>
      <c r="V318" s="115">
        <v>818.697</v>
      </c>
      <c r="W318" s="115">
        <f t="shared" si="73"/>
        <v>-28949944.616999999</v>
      </c>
      <c r="X318" s="276" t="s">
        <v>5363</v>
      </c>
      <c r="Y318" t="s">
        <v>25</v>
      </c>
      <c r="Z318" t="s">
        <v>25</v>
      </c>
      <c r="AH318" s="97">
        <v>38</v>
      </c>
      <c r="AI318" s="97" t="s">
        <v>4745</v>
      </c>
      <c r="AJ318" s="115">
        <v>665000</v>
      </c>
      <c r="AK318" s="97">
        <v>0</v>
      </c>
      <c r="AL318" s="97">
        <f t="shared" si="77"/>
        <v>756</v>
      </c>
      <c r="AM318" s="20">
        <f t="shared" si="78"/>
        <v>502740000</v>
      </c>
      <c r="AN318" s="97"/>
    </row>
    <row r="319" spans="7:40">
      <c r="G319" s="210" t="s">
        <v>5520</v>
      </c>
      <c r="H319" s="111">
        <v>-87000000</v>
      </c>
      <c r="Q319" s="97" t="s">
        <v>4672</v>
      </c>
      <c r="R319" s="93">
        <v>11811208</v>
      </c>
      <c r="T319" s="19" t="s">
        <v>5365</v>
      </c>
      <c r="U319" s="19">
        <v>116</v>
      </c>
      <c r="V319" s="115">
        <v>818.697</v>
      </c>
      <c r="W319" s="115">
        <f t="shared" si="73"/>
        <v>94968.851999999999</v>
      </c>
      <c r="X319" s="276" t="s">
        <v>5128</v>
      </c>
      <c r="AA319" t="s">
        <v>25</v>
      </c>
      <c r="AH319" s="147">
        <v>39</v>
      </c>
      <c r="AI319" s="147" t="s">
        <v>4745</v>
      </c>
      <c r="AJ319" s="186">
        <v>665000</v>
      </c>
      <c r="AK319" s="147">
        <v>4</v>
      </c>
      <c r="AL319" s="193">
        <f t="shared" si="77"/>
        <v>756</v>
      </c>
      <c r="AM319" s="193">
        <f t="shared" si="78"/>
        <v>502740000</v>
      </c>
      <c r="AN319" s="193"/>
    </row>
    <row r="320" spans="7:40">
      <c r="G320" s="210"/>
      <c r="H320" s="111"/>
      <c r="Q320" s="97" t="s">
        <v>4679</v>
      </c>
      <c r="R320" s="93">
        <v>41248054</v>
      </c>
      <c r="T320" s="19" t="s">
        <v>5369</v>
      </c>
      <c r="U320" s="19">
        <v>48633</v>
      </c>
      <c r="V320" s="115">
        <v>822.47199999999998</v>
      </c>
      <c r="W320" s="115">
        <f t="shared" si="73"/>
        <v>39999280.776000001</v>
      </c>
      <c r="X320" s="276" t="s">
        <v>5372</v>
      </c>
      <c r="AH320" s="20">
        <v>40</v>
      </c>
      <c r="AI320" s="20" t="s">
        <v>4754</v>
      </c>
      <c r="AJ320" s="115">
        <v>2000000</v>
      </c>
      <c r="AK320" s="20">
        <v>1</v>
      </c>
      <c r="AL320" s="97">
        <f t="shared" si="77"/>
        <v>752</v>
      </c>
      <c r="AM320" s="20">
        <f t="shared" si="78"/>
        <v>1504000000</v>
      </c>
      <c r="AN320" s="97"/>
    </row>
    <row r="321" spans="7:44">
      <c r="G321" s="210"/>
      <c r="H321" s="1"/>
      <c r="Q321" s="97" t="s">
        <v>4685</v>
      </c>
      <c r="R321" s="93">
        <v>37328780</v>
      </c>
      <c r="T321" s="19" t="s">
        <v>5369</v>
      </c>
      <c r="U321" s="19">
        <v>3412</v>
      </c>
      <c r="V321" s="115">
        <v>822.47199999999998</v>
      </c>
      <c r="W321" s="115">
        <f t="shared" si="73"/>
        <v>2806274.4640000002</v>
      </c>
      <c r="X321" s="276" t="s">
        <v>5374</v>
      </c>
      <c r="AH321" s="20">
        <v>41</v>
      </c>
      <c r="AI321" s="20" t="s">
        <v>4759</v>
      </c>
      <c r="AJ321" s="115">
        <v>-2060725</v>
      </c>
      <c r="AK321" s="20">
        <v>0</v>
      </c>
      <c r="AL321" s="97">
        <f t="shared" si="77"/>
        <v>751</v>
      </c>
      <c r="AM321" s="20">
        <f t="shared" ref="AM321:AM326" si="79">AJ321*AL321</f>
        <v>-1547604475</v>
      </c>
      <c r="AN321" s="97" t="s">
        <v>4760</v>
      </c>
    </row>
    <row r="322" spans="7:44">
      <c r="G322" s="210"/>
      <c r="H322" s="1"/>
      <c r="Q322" s="97" t="s">
        <v>4745</v>
      </c>
      <c r="R322" s="93">
        <v>50000000</v>
      </c>
      <c r="T322" s="19" t="s">
        <v>5370</v>
      </c>
      <c r="U322" s="19">
        <v>1531</v>
      </c>
      <c r="V322" s="115">
        <v>869.82500000000005</v>
      </c>
      <c r="W322" s="115">
        <f t="shared" si="73"/>
        <v>1331702.075</v>
      </c>
      <c r="X322" s="276" t="s">
        <v>5375</v>
      </c>
      <c r="AH322" s="147">
        <v>42</v>
      </c>
      <c r="AI322" s="147" t="s">
        <v>4759</v>
      </c>
      <c r="AJ322" s="186">
        <v>-433375</v>
      </c>
      <c r="AK322" s="147">
        <v>0</v>
      </c>
      <c r="AL322" s="147">
        <f t="shared" si="77"/>
        <v>751</v>
      </c>
      <c r="AM322" s="147">
        <f t="shared" si="79"/>
        <v>-325464625</v>
      </c>
      <c r="AN322" s="147" t="s">
        <v>4761</v>
      </c>
    </row>
    <row r="323" spans="7:44">
      <c r="G323" s="210"/>
      <c r="H323" s="1"/>
      <c r="Q323" s="97" t="s">
        <v>4754</v>
      </c>
      <c r="R323" s="93">
        <v>68656</v>
      </c>
      <c r="T323" s="170" t="s">
        <v>5378</v>
      </c>
      <c r="U323" s="170">
        <v>2394</v>
      </c>
      <c r="V323" s="168">
        <v>835.36580000000004</v>
      </c>
      <c r="W323" s="168">
        <f t="shared" si="73"/>
        <v>1999865.7252</v>
      </c>
      <c r="X323" s="285" t="s">
        <v>5380</v>
      </c>
      <c r="AH323" s="20">
        <v>43</v>
      </c>
      <c r="AI323" s="20" t="s">
        <v>4759</v>
      </c>
      <c r="AJ323" s="115">
        <v>28000000</v>
      </c>
      <c r="AK323" s="20">
        <v>1</v>
      </c>
      <c r="AL323" s="97">
        <f t="shared" si="77"/>
        <v>751</v>
      </c>
      <c r="AM323" s="20">
        <f t="shared" si="79"/>
        <v>21028000000</v>
      </c>
      <c r="AN323" s="97" t="s">
        <v>3875</v>
      </c>
    </row>
    <row r="324" spans="7:44">
      <c r="G324" s="210" t="s">
        <v>6</v>
      </c>
      <c r="H324" s="1">
        <f>SUM(H206:H323)</f>
        <v>1446723151.4616406</v>
      </c>
      <c r="Q324" s="97" t="s">
        <v>4754</v>
      </c>
      <c r="R324" s="93">
        <v>4000236</v>
      </c>
      <c r="T324" s="19" t="s">
        <v>5378</v>
      </c>
      <c r="U324" s="19">
        <v>1019</v>
      </c>
      <c r="V324" s="115">
        <v>835.36580000000004</v>
      </c>
      <c r="W324" s="115">
        <f t="shared" si="73"/>
        <v>851237.75020000001</v>
      </c>
      <c r="X324" s="276" t="s">
        <v>452</v>
      </c>
      <c r="AH324" s="20">
        <v>44</v>
      </c>
      <c r="AI324" s="20" t="s">
        <v>4768</v>
      </c>
      <c r="AJ324" s="115">
        <v>160000</v>
      </c>
      <c r="AK324" s="20">
        <v>0</v>
      </c>
      <c r="AL324" s="97">
        <f t="shared" si="77"/>
        <v>750</v>
      </c>
      <c r="AM324" s="20">
        <f t="shared" si="79"/>
        <v>120000000</v>
      </c>
      <c r="AN324" s="97"/>
    </row>
    <row r="325" spans="7:44">
      <c r="G325" s="312"/>
      <c r="H325" s="1"/>
      <c r="Q325" s="97" t="s">
        <v>4759</v>
      </c>
      <c r="R325" s="93">
        <v>2250000</v>
      </c>
      <c r="T325" s="187" t="s">
        <v>5384</v>
      </c>
      <c r="U325" s="187">
        <v>2316</v>
      </c>
      <c r="V325" s="186">
        <v>818.697</v>
      </c>
      <c r="W325" s="186">
        <f t="shared" si="73"/>
        <v>1896102.2520000001</v>
      </c>
      <c r="X325" s="275" t="s">
        <v>5387</v>
      </c>
      <c r="AH325" s="147">
        <v>45</v>
      </c>
      <c r="AI325" s="147" t="s">
        <v>4768</v>
      </c>
      <c r="AJ325" s="186">
        <v>70000</v>
      </c>
      <c r="AK325" s="147">
        <v>9</v>
      </c>
      <c r="AL325" s="147">
        <f t="shared" si="77"/>
        <v>750</v>
      </c>
      <c r="AM325" s="147">
        <f t="shared" si="79"/>
        <v>52500000</v>
      </c>
      <c r="AN325" s="147"/>
    </row>
    <row r="326" spans="7:44">
      <c r="Q326" s="97" t="s">
        <v>4768</v>
      </c>
      <c r="R326" s="93">
        <v>-2512200</v>
      </c>
      <c r="T326" s="19" t="s">
        <v>5390</v>
      </c>
      <c r="U326" s="19">
        <v>315</v>
      </c>
      <c r="V326" s="115">
        <v>680</v>
      </c>
      <c r="W326" s="115">
        <f t="shared" si="73"/>
        <v>214200</v>
      </c>
      <c r="X326" s="276" t="s">
        <v>5128</v>
      </c>
      <c r="Y326" t="s">
        <v>25</v>
      </c>
      <c r="AH326" s="20">
        <v>46</v>
      </c>
      <c r="AI326" s="20" t="s">
        <v>4775</v>
      </c>
      <c r="AJ326" s="115">
        <v>850000</v>
      </c>
      <c r="AK326" s="20">
        <v>0</v>
      </c>
      <c r="AL326" s="97">
        <f t="shared" si="77"/>
        <v>741</v>
      </c>
      <c r="AM326" s="20">
        <f t="shared" si="79"/>
        <v>629850000</v>
      </c>
      <c r="AN326" s="97"/>
    </row>
    <row r="327" spans="7:44">
      <c r="Q327" s="97" t="s">
        <v>966</v>
      </c>
      <c r="R327" s="93">
        <v>300000</v>
      </c>
      <c r="T327" s="19" t="s">
        <v>5412</v>
      </c>
      <c r="U327" s="19">
        <v>832</v>
      </c>
      <c r="V327" s="115">
        <v>784.36500000000001</v>
      </c>
      <c r="W327" s="115">
        <f t="shared" si="73"/>
        <v>652591.68000000005</v>
      </c>
      <c r="X327" s="276" t="s">
        <v>5128</v>
      </c>
      <c r="Y327" t="s">
        <v>25</v>
      </c>
      <c r="AH327" s="193">
        <v>47</v>
      </c>
      <c r="AI327" s="193" t="s">
        <v>4775</v>
      </c>
      <c r="AJ327" s="194">
        <v>20000</v>
      </c>
      <c r="AK327" s="193">
        <v>4</v>
      </c>
      <c r="AL327" s="193">
        <f t="shared" ref="AL327:AL335" si="80">AK327+AL328</f>
        <v>741</v>
      </c>
      <c r="AM327" s="193">
        <f t="shared" ref="AM327:AM335" si="81">AJ327*AL327</f>
        <v>14820000</v>
      </c>
      <c r="AN327" s="193"/>
    </row>
    <row r="328" spans="7:44">
      <c r="G328" s="94"/>
      <c r="H328" s="9" t="s">
        <v>452</v>
      </c>
      <c r="Q328" s="97" t="s">
        <v>4775</v>
      </c>
      <c r="R328" s="93">
        <v>1100000</v>
      </c>
      <c r="T328" s="19" t="s">
        <v>5458</v>
      </c>
      <c r="U328" s="19">
        <v>382</v>
      </c>
      <c r="V328" s="115">
        <v>1450.6065000000001</v>
      </c>
      <c r="W328" s="115">
        <f t="shared" si="73"/>
        <v>554131.68300000008</v>
      </c>
      <c r="X328" s="276" t="s">
        <v>5128</v>
      </c>
      <c r="Z328" t="s">
        <v>25</v>
      </c>
      <c r="AH328" s="193">
        <v>48</v>
      </c>
      <c r="AI328" s="193" t="s">
        <v>4788</v>
      </c>
      <c r="AJ328" s="194">
        <v>30000000</v>
      </c>
      <c r="AK328" s="193">
        <v>27</v>
      </c>
      <c r="AL328" s="193">
        <f t="shared" si="80"/>
        <v>737</v>
      </c>
      <c r="AM328" s="193">
        <f t="shared" si="81"/>
        <v>22110000000</v>
      </c>
      <c r="AN328" s="193" t="s">
        <v>4789</v>
      </c>
    </row>
    <row r="329" spans="7:44">
      <c r="G329" s="94"/>
      <c r="H329" s="9" t="s">
        <v>744</v>
      </c>
      <c r="Q329" s="97" t="s">
        <v>4795</v>
      </c>
      <c r="R329" s="93">
        <v>890000</v>
      </c>
      <c r="T329" s="19" t="s">
        <v>5459</v>
      </c>
      <c r="U329" s="19">
        <v>50047</v>
      </c>
      <c r="V329" s="115">
        <v>1406.14</v>
      </c>
      <c r="W329" s="115">
        <f t="shared" si="73"/>
        <v>70373088.579999998</v>
      </c>
      <c r="X329" s="276" t="s">
        <v>5128</v>
      </c>
      <c r="Y329" t="s">
        <v>25</v>
      </c>
      <c r="Z329" t="s">
        <v>25</v>
      </c>
      <c r="AH329" s="20">
        <v>49</v>
      </c>
      <c r="AI329" s="20" t="s">
        <v>4861</v>
      </c>
      <c r="AJ329" s="115">
        <v>1100000</v>
      </c>
      <c r="AK329" s="20">
        <v>1</v>
      </c>
      <c r="AL329" s="20">
        <f t="shared" si="80"/>
        <v>710</v>
      </c>
      <c r="AM329" s="20">
        <f t="shared" si="81"/>
        <v>781000000</v>
      </c>
      <c r="AN329" s="20"/>
    </row>
    <row r="330" spans="7:44">
      <c r="G330" s="94"/>
      <c r="H330" s="9" t="s">
        <v>5443</v>
      </c>
      <c r="Q330" s="97" t="s">
        <v>4796</v>
      </c>
      <c r="R330" s="93">
        <v>1000000</v>
      </c>
      <c r="T330" s="19" t="s">
        <v>5460</v>
      </c>
      <c r="U330" s="19">
        <v>846</v>
      </c>
      <c r="V330" s="115">
        <v>1441.6724569999999</v>
      </c>
      <c r="W330" s="115">
        <f t="shared" si="73"/>
        <v>1219654.8986219999</v>
      </c>
      <c r="X330" s="276" t="s">
        <v>5128</v>
      </c>
      <c r="Y330" t="s">
        <v>25</v>
      </c>
      <c r="AH330" s="20">
        <v>50</v>
      </c>
      <c r="AI330" s="20" t="s">
        <v>4862</v>
      </c>
      <c r="AJ330" s="115">
        <v>450000</v>
      </c>
      <c r="AK330" s="20">
        <v>0</v>
      </c>
      <c r="AL330" s="20">
        <f t="shared" si="80"/>
        <v>709</v>
      </c>
      <c r="AM330" s="20">
        <f t="shared" si="81"/>
        <v>319050000</v>
      </c>
      <c r="AN330" s="20"/>
    </row>
    <row r="331" spans="7:44">
      <c r="G331" s="94"/>
      <c r="H331" s="9" t="s">
        <v>1071</v>
      </c>
      <c r="Q331" s="97" t="s">
        <v>4796</v>
      </c>
      <c r="R331" s="93">
        <v>45436311</v>
      </c>
      <c r="T331" s="19" t="s">
        <v>5461</v>
      </c>
      <c r="U331" s="19">
        <v>10573</v>
      </c>
      <c r="V331" s="115">
        <v>1451.825</v>
      </c>
      <c r="W331" s="115">
        <f t="shared" si="73"/>
        <v>15350145.725</v>
      </c>
      <c r="X331" s="276" t="s">
        <v>5128</v>
      </c>
      <c r="Y331" t="s">
        <v>25</v>
      </c>
      <c r="AH331" s="147">
        <v>51</v>
      </c>
      <c r="AI331" s="147" t="s">
        <v>4862</v>
      </c>
      <c r="AJ331" s="186">
        <v>550000</v>
      </c>
      <c r="AK331" s="147">
        <v>1</v>
      </c>
      <c r="AL331" s="147">
        <f t="shared" si="80"/>
        <v>709</v>
      </c>
      <c r="AM331" s="147">
        <f t="shared" si="81"/>
        <v>389950000</v>
      </c>
      <c r="AN331" s="147"/>
    </row>
    <row r="332" spans="7:44" ht="30">
      <c r="H332" s="9" t="s">
        <v>5380</v>
      </c>
      <c r="Q332" s="97" t="s">
        <v>4808</v>
      </c>
      <c r="R332" s="93">
        <v>-3500000</v>
      </c>
      <c r="T332" s="19" t="s">
        <v>5462</v>
      </c>
      <c r="U332" s="19">
        <v>85</v>
      </c>
      <c r="V332" s="115">
        <v>1423.74</v>
      </c>
      <c r="W332" s="115">
        <f t="shared" si="73"/>
        <v>121017.9</v>
      </c>
      <c r="X332" s="276" t="s">
        <v>5463</v>
      </c>
      <c r="Y332" t="s">
        <v>25</v>
      </c>
      <c r="AA332" t="s">
        <v>25</v>
      </c>
      <c r="AH332" s="147">
        <v>52</v>
      </c>
      <c r="AI332" s="147" t="s">
        <v>4864</v>
      </c>
      <c r="AJ332" s="186">
        <v>1000000</v>
      </c>
      <c r="AK332" s="147">
        <v>8</v>
      </c>
      <c r="AL332" s="147">
        <f t="shared" si="80"/>
        <v>708</v>
      </c>
      <c r="AM332" s="147">
        <f t="shared" si="81"/>
        <v>708000000</v>
      </c>
      <c r="AN332" s="147"/>
      <c r="AR332" t="s">
        <v>25</v>
      </c>
    </row>
    <row r="333" spans="7:44" ht="30">
      <c r="H333" s="9" t="s">
        <v>5558</v>
      </c>
      <c r="Q333" s="97" t="s">
        <v>4843</v>
      </c>
      <c r="R333" s="93">
        <v>2520000</v>
      </c>
      <c r="T333" s="19" t="s">
        <v>5466</v>
      </c>
      <c r="U333" s="19">
        <v>738</v>
      </c>
      <c r="V333" s="115">
        <v>1388.87895</v>
      </c>
      <c r="W333" s="115">
        <f t="shared" si="73"/>
        <v>1024992.6651</v>
      </c>
      <c r="X333" s="276" t="s">
        <v>5474</v>
      </c>
      <c r="AH333" s="20">
        <v>53</v>
      </c>
      <c r="AI333" s="20" t="s">
        <v>4873</v>
      </c>
      <c r="AJ333" s="115">
        <v>-2668880</v>
      </c>
      <c r="AK333" s="20">
        <v>0</v>
      </c>
      <c r="AL333" s="20">
        <f t="shared" si="80"/>
        <v>700</v>
      </c>
      <c r="AM333" s="20">
        <f t="shared" si="81"/>
        <v>-1868216000</v>
      </c>
      <c r="AN333" s="20" t="s">
        <v>4875</v>
      </c>
    </row>
    <row r="334" spans="7:44">
      <c r="H334" s="313" t="s">
        <v>5559</v>
      </c>
      <c r="Q334" s="97" t="s">
        <v>4861</v>
      </c>
      <c r="R334" s="93">
        <v>4900000</v>
      </c>
      <c r="T334" s="19" t="s">
        <v>5482</v>
      </c>
      <c r="U334" s="19">
        <v>1442</v>
      </c>
      <c r="V334" s="115">
        <v>1350.9547279999999</v>
      </c>
      <c r="W334" s="115">
        <f t="shared" si="73"/>
        <v>1948076.7177759998</v>
      </c>
      <c r="X334" s="276" t="s">
        <v>5128</v>
      </c>
      <c r="AA334" t="s">
        <v>25</v>
      </c>
      <c r="AH334" s="147">
        <v>54</v>
      </c>
      <c r="AI334" s="147" t="s">
        <v>4873</v>
      </c>
      <c r="AJ334" s="186">
        <v>-1528620</v>
      </c>
      <c r="AK334" s="147">
        <v>0</v>
      </c>
      <c r="AL334" s="147">
        <f t="shared" si="80"/>
        <v>700</v>
      </c>
      <c r="AM334" s="147">
        <f t="shared" si="81"/>
        <v>-1070034000</v>
      </c>
      <c r="AN334" s="147" t="s">
        <v>4875</v>
      </c>
    </row>
    <row r="335" spans="7:44">
      <c r="H335" s="313" t="s">
        <v>744</v>
      </c>
      <c r="Q335" s="97" t="s">
        <v>4815</v>
      </c>
      <c r="R335" s="93">
        <v>1150000</v>
      </c>
      <c r="T335" s="19" t="s">
        <v>5483</v>
      </c>
      <c r="U335" s="19">
        <v>36847</v>
      </c>
      <c r="V335" s="115">
        <v>1356.9658300000001</v>
      </c>
      <c r="W335" s="115">
        <f t="shared" si="73"/>
        <v>50000119.938010007</v>
      </c>
      <c r="X335" s="276" t="s">
        <v>5133</v>
      </c>
      <c r="Y335" t="s">
        <v>25</v>
      </c>
      <c r="AH335" s="20">
        <v>55</v>
      </c>
      <c r="AI335" s="20" t="s">
        <v>4873</v>
      </c>
      <c r="AJ335" s="115">
        <v>50000000</v>
      </c>
      <c r="AK335" s="20">
        <v>4</v>
      </c>
      <c r="AL335" s="20">
        <f t="shared" si="80"/>
        <v>700</v>
      </c>
      <c r="AM335" s="20">
        <f t="shared" si="81"/>
        <v>35000000000</v>
      </c>
      <c r="AN335" s="20"/>
    </row>
    <row r="336" spans="7:44" ht="30">
      <c r="H336" s="9" t="s">
        <v>5560</v>
      </c>
      <c r="Q336" s="97" t="s">
        <v>4896</v>
      </c>
      <c r="R336" s="93">
        <v>250000</v>
      </c>
      <c r="T336" s="19" t="s">
        <v>5484</v>
      </c>
      <c r="U336" s="19">
        <v>13738</v>
      </c>
      <c r="V336" s="115">
        <v>1455.82</v>
      </c>
      <c r="W336" s="115">
        <f t="shared" si="73"/>
        <v>20000055.16</v>
      </c>
      <c r="X336" s="276" t="s">
        <v>5503</v>
      </c>
      <c r="Y336" t="s">
        <v>25</v>
      </c>
      <c r="AH336" s="20">
        <v>56</v>
      </c>
      <c r="AI336" s="20" t="s">
        <v>4879</v>
      </c>
      <c r="AJ336" s="115">
        <v>400000</v>
      </c>
      <c r="AK336" s="20">
        <v>4</v>
      </c>
      <c r="AL336" s="20">
        <f t="shared" ref="AL336:AL345" si="82">AK336+AL337</f>
        <v>696</v>
      </c>
      <c r="AM336" s="20">
        <f t="shared" ref="AM336:AM345" si="83">AJ336*AL336</f>
        <v>278400000</v>
      </c>
      <c r="AN336" s="20"/>
      <c r="AR336" t="s">
        <v>25</v>
      </c>
    </row>
    <row r="337" spans="8:46">
      <c r="H337" s="9" t="s">
        <v>5561</v>
      </c>
      <c r="Q337" s="97" t="s">
        <v>4899</v>
      </c>
      <c r="R337" s="93">
        <v>1403460</v>
      </c>
      <c r="T337" s="19" t="s">
        <v>5512</v>
      </c>
      <c r="U337" s="19">
        <v>3100</v>
      </c>
      <c r="V337" s="115">
        <v>1853.4507470000001</v>
      </c>
      <c r="W337" s="115">
        <f t="shared" si="73"/>
        <v>5745697.3157000002</v>
      </c>
      <c r="X337" s="276" t="s">
        <v>5128</v>
      </c>
      <c r="Y337" t="s">
        <v>25</v>
      </c>
      <c r="AH337" s="20">
        <v>57</v>
      </c>
      <c r="AI337" s="20" t="s">
        <v>4889</v>
      </c>
      <c r="AJ337" s="115">
        <v>2000000</v>
      </c>
      <c r="AK337" s="20">
        <v>3</v>
      </c>
      <c r="AL337" s="20">
        <f t="shared" si="82"/>
        <v>692</v>
      </c>
      <c r="AM337" s="20">
        <f t="shared" si="83"/>
        <v>1384000000</v>
      </c>
      <c r="AN337" s="20"/>
      <c r="AS337" t="s">
        <v>25</v>
      </c>
    </row>
    <row r="338" spans="8:46">
      <c r="H338" s="9" t="s">
        <v>5590</v>
      </c>
      <c r="Q338" s="97" t="s">
        <v>4904</v>
      </c>
      <c r="R338" s="93">
        <v>200000</v>
      </c>
      <c r="T338" s="19" t="s">
        <v>5513</v>
      </c>
      <c r="U338" s="19">
        <v>480</v>
      </c>
      <c r="V338" s="115">
        <v>1891.9962069999999</v>
      </c>
      <c r="W338" s="115">
        <f t="shared" si="73"/>
        <v>908158.17935999995</v>
      </c>
      <c r="X338" s="276" t="s">
        <v>5128</v>
      </c>
      <c r="AA338" t="s">
        <v>25</v>
      </c>
      <c r="AH338" s="20">
        <v>58</v>
      </c>
      <c r="AI338" s="20" t="s">
        <v>4892</v>
      </c>
      <c r="AJ338" s="115">
        <v>100000</v>
      </c>
      <c r="AK338" s="20">
        <v>4</v>
      </c>
      <c r="AL338" s="20">
        <f t="shared" si="82"/>
        <v>689</v>
      </c>
      <c r="AM338" s="20">
        <f t="shared" si="83"/>
        <v>68900000</v>
      </c>
      <c r="AN338" s="20" t="s">
        <v>3875</v>
      </c>
      <c r="AR338" t="s">
        <v>25</v>
      </c>
      <c r="AT338" s="94" t="s">
        <v>25</v>
      </c>
    </row>
    <row r="339" spans="8:46">
      <c r="H339" s="313"/>
      <c r="Q339" s="97" t="s">
        <v>4909</v>
      </c>
      <c r="R339" s="93">
        <v>345000</v>
      </c>
      <c r="T339" s="19" t="s">
        <v>5514</v>
      </c>
      <c r="U339" s="19">
        <v>6522</v>
      </c>
      <c r="V339" s="115">
        <v>1938.4694340000001</v>
      </c>
      <c r="W339" s="115">
        <f t="shared" si="73"/>
        <v>12642697.648548001</v>
      </c>
      <c r="X339" s="276" t="s">
        <v>5128</v>
      </c>
      <c r="AA339" t="s">
        <v>25</v>
      </c>
      <c r="AH339" s="20">
        <v>59</v>
      </c>
      <c r="AI339" s="20" t="s">
        <v>4899</v>
      </c>
      <c r="AJ339" s="115">
        <v>100000</v>
      </c>
      <c r="AK339" s="20">
        <v>7</v>
      </c>
      <c r="AL339" s="20">
        <f t="shared" si="82"/>
        <v>685</v>
      </c>
      <c r="AM339" s="20">
        <f t="shared" si="83"/>
        <v>68500000</v>
      </c>
      <c r="AN339" s="20"/>
      <c r="AS339" t="s">
        <v>25</v>
      </c>
    </row>
    <row r="340" spans="8:46">
      <c r="Q340" s="97" t="s">
        <v>4912</v>
      </c>
      <c r="R340" s="93">
        <v>900000</v>
      </c>
      <c r="T340" s="19" t="s">
        <v>5515</v>
      </c>
      <c r="U340" s="19">
        <v>6197</v>
      </c>
      <c r="V340" s="115">
        <v>1984.3985499999999</v>
      </c>
      <c r="W340" s="115">
        <f t="shared" si="73"/>
        <v>12297317.81435</v>
      </c>
      <c r="X340" s="276" t="s">
        <v>5128</v>
      </c>
      <c r="Z340" t="s">
        <v>25</v>
      </c>
      <c r="AH340" s="20">
        <v>60</v>
      </c>
      <c r="AI340" s="20" t="s">
        <v>4912</v>
      </c>
      <c r="AJ340" s="115">
        <v>50000</v>
      </c>
      <c r="AK340" s="20">
        <v>0</v>
      </c>
      <c r="AL340" s="20">
        <f t="shared" si="82"/>
        <v>678</v>
      </c>
      <c r="AM340" s="20">
        <f t="shared" si="83"/>
        <v>33900000</v>
      </c>
      <c r="AN340" s="20"/>
    </row>
    <row r="341" spans="8:46">
      <c r="Q341" s="97" t="s">
        <v>4920</v>
      </c>
      <c r="R341" s="93">
        <v>372517</v>
      </c>
      <c r="T341" s="19" t="s">
        <v>5516</v>
      </c>
      <c r="U341" s="19">
        <v>4646</v>
      </c>
      <c r="V341" s="115">
        <v>1928.464023</v>
      </c>
      <c r="W341" s="115">
        <f t="shared" si="73"/>
        <v>8959643.8508579992</v>
      </c>
      <c r="X341" s="276" t="s">
        <v>5128</v>
      </c>
      <c r="AH341" s="147">
        <v>61</v>
      </c>
      <c r="AI341" s="147" t="s">
        <v>4912</v>
      </c>
      <c r="AJ341" s="186">
        <v>50000</v>
      </c>
      <c r="AK341" s="147">
        <v>3</v>
      </c>
      <c r="AL341" s="147">
        <f t="shared" si="82"/>
        <v>678</v>
      </c>
      <c r="AM341" s="147">
        <f t="shared" si="83"/>
        <v>33900000</v>
      </c>
      <c r="AN341" s="147"/>
    </row>
    <row r="342" spans="8:46">
      <c r="Q342" s="97" t="s">
        <v>4955</v>
      </c>
      <c r="R342" s="93">
        <v>6489257</v>
      </c>
      <c r="T342" s="19" t="s">
        <v>5517</v>
      </c>
      <c r="U342" s="19">
        <v>7668</v>
      </c>
      <c r="V342" s="115">
        <v>1976.2774959999999</v>
      </c>
      <c r="W342" s="115">
        <f t="shared" si="73"/>
        <v>15154095.839328</v>
      </c>
      <c r="X342" s="276" t="s">
        <v>5128</v>
      </c>
      <c r="Y342" t="s">
        <v>25</v>
      </c>
      <c r="AH342" s="20">
        <v>62</v>
      </c>
      <c r="AI342" s="20" t="s">
        <v>4915</v>
      </c>
      <c r="AJ342" s="115">
        <v>50000</v>
      </c>
      <c r="AK342" s="20">
        <v>0</v>
      </c>
      <c r="AL342" s="20">
        <f t="shared" si="82"/>
        <v>675</v>
      </c>
      <c r="AM342" s="20">
        <f t="shared" si="83"/>
        <v>33750000</v>
      </c>
      <c r="AN342" s="20"/>
    </row>
    <row r="343" spans="8:46" ht="30">
      <c r="Q343" s="97" t="s">
        <v>4966</v>
      </c>
      <c r="R343" s="93">
        <v>618000</v>
      </c>
      <c r="T343" s="19" t="s">
        <v>5528</v>
      </c>
      <c r="U343" s="19">
        <v>-43325</v>
      </c>
      <c r="V343" s="115">
        <v>2146.5548840000001</v>
      </c>
      <c r="W343" s="115">
        <f t="shared" si="73"/>
        <v>-92999490.349300012</v>
      </c>
      <c r="X343" s="276" t="s">
        <v>5529</v>
      </c>
      <c r="AH343" s="193">
        <v>63</v>
      </c>
      <c r="AI343" s="193" t="s">
        <v>4915</v>
      </c>
      <c r="AJ343" s="194">
        <v>50000</v>
      </c>
      <c r="AK343" s="193">
        <v>2</v>
      </c>
      <c r="AL343" s="193">
        <f t="shared" si="82"/>
        <v>675</v>
      </c>
      <c r="AM343" s="193">
        <f t="shared" si="83"/>
        <v>33750000</v>
      </c>
      <c r="AN343" s="193"/>
    </row>
    <row r="344" spans="8:46">
      <c r="Q344" s="97" t="s">
        <v>4970</v>
      </c>
      <c r="R344" s="93">
        <v>20105000</v>
      </c>
      <c r="S344" s="112"/>
      <c r="T344" s="19" t="s">
        <v>5536</v>
      </c>
      <c r="U344" s="19">
        <v>20888</v>
      </c>
      <c r="V344" s="115">
        <v>2428.4521530000002</v>
      </c>
      <c r="W344" s="115">
        <f t="shared" si="73"/>
        <v>50725508.571864001</v>
      </c>
      <c r="X344" s="276" t="s">
        <v>5128</v>
      </c>
      <c r="Y344" t="s">
        <v>25</v>
      </c>
      <c r="AH344" s="20">
        <v>64</v>
      </c>
      <c r="AI344" s="20" t="s">
        <v>4922</v>
      </c>
      <c r="AJ344" s="115">
        <v>25000</v>
      </c>
      <c r="AK344" s="20">
        <v>0</v>
      </c>
      <c r="AL344" s="20">
        <f t="shared" si="82"/>
        <v>673</v>
      </c>
      <c r="AM344" s="20">
        <f t="shared" si="83"/>
        <v>16825000</v>
      </c>
      <c r="AN344" s="20"/>
    </row>
    <row r="345" spans="8:46">
      <c r="Q345" s="97" t="s">
        <v>4971</v>
      </c>
      <c r="R345" s="93">
        <v>-21079990</v>
      </c>
      <c r="T345" s="19" t="s">
        <v>5537</v>
      </c>
      <c r="U345" s="19">
        <v>21663</v>
      </c>
      <c r="V345" s="115">
        <v>2308.0067819999999</v>
      </c>
      <c r="W345" s="115">
        <f t="shared" si="73"/>
        <v>49998350.918466002</v>
      </c>
      <c r="X345" s="276" t="s">
        <v>5540</v>
      </c>
      <c r="AH345" s="147">
        <v>65</v>
      </c>
      <c r="AI345" s="147" t="s">
        <v>4922</v>
      </c>
      <c r="AJ345" s="186">
        <v>35000</v>
      </c>
      <c r="AK345" s="147">
        <v>7</v>
      </c>
      <c r="AL345" s="147">
        <f t="shared" si="82"/>
        <v>673</v>
      </c>
      <c r="AM345" s="147">
        <f t="shared" si="83"/>
        <v>23555000</v>
      </c>
      <c r="AN345" s="147"/>
    </row>
    <row r="346" spans="8:46">
      <c r="Q346" s="97" t="s">
        <v>4977</v>
      </c>
      <c r="R346" s="93">
        <v>-5949277</v>
      </c>
      <c r="T346" s="19" t="s">
        <v>5537</v>
      </c>
      <c r="U346" s="19">
        <v>977</v>
      </c>
      <c r="V346" s="115">
        <v>2335.6821479999999</v>
      </c>
      <c r="W346" s="115">
        <f t="shared" si="73"/>
        <v>2281961.458596</v>
      </c>
      <c r="X346" s="276" t="s">
        <v>5128</v>
      </c>
      <c r="AH346" s="147">
        <v>66</v>
      </c>
      <c r="AI346" s="147" t="s">
        <v>4930</v>
      </c>
      <c r="AJ346" s="186">
        <v>30000000</v>
      </c>
      <c r="AK346" s="147">
        <v>0</v>
      </c>
      <c r="AL346" s="147">
        <f t="shared" ref="AL346:AL365" si="84">AK346+AL347</f>
        <v>666</v>
      </c>
      <c r="AM346" s="147">
        <f t="shared" ref="AM346:AM365" si="85">AJ346*AL346</f>
        <v>19980000000</v>
      </c>
      <c r="AN346" s="147"/>
    </row>
    <row r="347" spans="8:46">
      <c r="Q347" s="97" t="s">
        <v>4983</v>
      </c>
      <c r="R347" s="93">
        <v>-15370656</v>
      </c>
      <c r="T347" s="19" t="s">
        <v>5544</v>
      </c>
      <c r="U347" s="19">
        <v>4155</v>
      </c>
      <c r="V347" s="115">
        <v>2647</v>
      </c>
      <c r="W347" s="115">
        <f t="shared" si="73"/>
        <v>10998285</v>
      </c>
      <c r="X347" s="276" t="s">
        <v>5128</v>
      </c>
      <c r="Y347" t="s">
        <v>25</v>
      </c>
      <c r="AH347" s="20">
        <v>67</v>
      </c>
      <c r="AI347" s="20" t="s">
        <v>4930</v>
      </c>
      <c r="AJ347" s="115">
        <v>6800000</v>
      </c>
      <c r="AK347" s="20">
        <v>1</v>
      </c>
      <c r="AL347" s="20">
        <f t="shared" si="84"/>
        <v>666</v>
      </c>
      <c r="AM347" s="20">
        <f t="shared" si="85"/>
        <v>4528800000</v>
      </c>
      <c r="AN347" s="20"/>
    </row>
    <row r="348" spans="8:46">
      <c r="Q348" s="97" t="s">
        <v>4983</v>
      </c>
      <c r="R348" s="93">
        <v>4960000</v>
      </c>
      <c r="T348" s="19" t="s">
        <v>5545</v>
      </c>
      <c r="U348" s="19">
        <v>351</v>
      </c>
      <c r="V348" s="115">
        <v>2800.6238229999999</v>
      </c>
      <c r="W348" s="115">
        <f t="shared" si="73"/>
        <v>983018.96187300002</v>
      </c>
      <c r="X348" s="276" t="s">
        <v>5128</v>
      </c>
      <c r="Y348" t="s">
        <v>25</v>
      </c>
      <c r="AH348" s="20">
        <v>68</v>
      </c>
      <c r="AI348" s="20" t="s">
        <v>4933</v>
      </c>
      <c r="AJ348" s="115">
        <v>500000</v>
      </c>
      <c r="AK348" s="20">
        <v>1</v>
      </c>
      <c r="AL348" s="20">
        <f t="shared" si="84"/>
        <v>665</v>
      </c>
      <c r="AM348" s="20">
        <f t="shared" si="85"/>
        <v>332500000</v>
      </c>
      <c r="AN348" s="20"/>
    </row>
    <row r="349" spans="8:46">
      <c r="Q349" s="97" t="s">
        <v>4990</v>
      </c>
      <c r="R349" s="93">
        <v>10000000</v>
      </c>
      <c r="T349" s="19" t="s">
        <v>5547</v>
      </c>
      <c r="U349" s="19">
        <v>5877</v>
      </c>
      <c r="V349" s="115">
        <v>2901.0160000000001</v>
      </c>
      <c r="W349" s="115">
        <f t="shared" si="73"/>
        <v>17049271.032000002</v>
      </c>
      <c r="X349" s="276" t="s">
        <v>5128</v>
      </c>
      <c r="AH349" s="20">
        <v>69</v>
      </c>
      <c r="AI349" s="20" t="s">
        <v>4939</v>
      </c>
      <c r="AJ349" s="115">
        <v>850000</v>
      </c>
      <c r="AK349" s="20">
        <v>5</v>
      </c>
      <c r="AL349" s="20">
        <f t="shared" si="84"/>
        <v>664</v>
      </c>
      <c r="AM349" s="20">
        <f t="shared" si="85"/>
        <v>564400000</v>
      </c>
      <c r="AN349" s="20"/>
    </row>
    <row r="350" spans="8:46">
      <c r="Q350" s="97" t="s">
        <v>4999</v>
      </c>
      <c r="R350" s="93">
        <v>-40570100</v>
      </c>
      <c r="T350" s="19" t="s">
        <v>5550</v>
      </c>
      <c r="U350" s="19">
        <v>2374</v>
      </c>
      <c r="V350" s="115">
        <v>2877</v>
      </c>
      <c r="W350" s="115">
        <f t="shared" ref="W350:W393" si="86">U350*V350</f>
        <v>6829998</v>
      </c>
      <c r="X350" s="276" t="s">
        <v>5128</v>
      </c>
      <c r="AH350" s="20">
        <v>70</v>
      </c>
      <c r="AI350" s="20" t="s">
        <v>4947</v>
      </c>
      <c r="AJ350" s="115">
        <v>1130250</v>
      </c>
      <c r="AK350" s="20">
        <v>0</v>
      </c>
      <c r="AL350" s="20">
        <f t="shared" si="84"/>
        <v>659</v>
      </c>
      <c r="AM350" s="20">
        <f t="shared" si="85"/>
        <v>744834750</v>
      </c>
      <c r="AN350" s="20"/>
    </row>
    <row r="351" spans="8:46">
      <c r="Q351" s="97" t="s">
        <v>5000</v>
      </c>
      <c r="R351" s="93">
        <v>1000000</v>
      </c>
      <c r="T351" s="19" t="s">
        <v>4212</v>
      </c>
      <c r="U351" s="19">
        <v>2532</v>
      </c>
      <c r="V351" s="115">
        <v>2757.7444</v>
      </c>
      <c r="W351" s="115">
        <f t="shared" si="86"/>
        <v>6982608.8207999999</v>
      </c>
      <c r="X351" s="276" t="s">
        <v>5128</v>
      </c>
      <c r="Y351" t="s">
        <v>25</v>
      </c>
      <c r="AH351" s="252">
        <v>71</v>
      </c>
      <c r="AI351" s="252" t="s">
        <v>4947</v>
      </c>
      <c r="AJ351" s="243">
        <v>30000</v>
      </c>
      <c r="AK351" s="252">
        <v>5</v>
      </c>
      <c r="AL351" s="252">
        <f t="shared" si="84"/>
        <v>659</v>
      </c>
      <c r="AM351" s="252">
        <f t="shared" si="85"/>
        <v>19770000</v>
      </c>
      <c r="AN351" s="252"/>
    </row>
    <row r="352" spans="8:46">
      <c r="Q352" s="97" t="s">
        <v>5007</v>
      </c>
      <c r="R352" s="93">
        <v>400000</v>
      </c>
      <c r="T352" s="19" t="s">
        <v>4212</v>
      </c>
      <c r="U352" s="19">
        <v>4987</v>
      </c>
      <c r="V352" s="115">
        <v>2757.7444</v>
      </c>
      <c r="W352" s="115">
        <f t="shared" si="86"/>
        <v>13752871.322800001</v>
      </c>
      <c r="X352" s="276" t="s">
        <v>5566</v>
      </c>
      <c r="AH352" s="20">
        <v>72</v>
      </c>
      <c r="AI352" s="20" t="s">
        <v>4955</v>
      </c>
      <c r="AJ352" s="115">
        <v>206000</v>
      </c>
      <c r="AK352" s="20">
        <v>0</v>
      </c>
      <c r="AL352" s="20">
        <f t="shared" si="84"/>
        <v>654</v>
      </c>
      <c r="AM352" s="20">
        <f t="shared" si="85"/>
        <v>134724000</v>
      </c>
      <c r="AN352" s="20"/>
    </row>
    <row r="353" spans="17:45">
      <c r="Q353" s="97" t="s">
        <v>5021</v>
      </c>
      <c r="R353" s="93">
        <v>120000</v>
      </c>
      <c r="S353" t="s">
        <v>25</v>
      </c>
      <c r="T353" s="19" t="s">
        <v>4212</v>
      </c>
      <c r="U353" s="19">
        <v>997</v>
      </c>
      <c r="V353" s="115">
        <v>2757.7444</v>
      </c>
      <c r="W353" s="115">
        <f t="shared" si="86"/>
        <v>2749471.1668000002</v>
      </c>
      <c r="X353" s="276" t="s">
        <v>5567</v>
      </c>
      <c r="AH353" s="147">
        <v>73</v>
      </c>
      <c r="AI353" s="147" t="s">
        <v>4955</v>
      </c>
      <c r="AJ353" s="186">
        <v>206000</v>
      </c>
      <c r="AK353" s="147">
        <v>2</v>
      </c>
      <c r="AL353" s="147">
        <f t="shared" si="84"/>
        <v>654</v>
      </c>
      <c r="AM353" s="147">
        <f t="shared" si="85"/>
        <v>134724000</v>
      </c>
      <c r="AN353" s="147"/>
    </row>
    <row r="354" spans="17:45" ht="30">
      <c r="Q354" s="97" t="s">
        <v>5012</v>
      </c>
      <c r="R354" s="93">
        <v>500000</v>
      </c>
      <c r="T354" s="187" t="s">
        <v>5570</v>
      </c>
      <c r="U354" s="187">
        <v>-18</v>
      </c>
      <c r="V354" s="186">
        <v>2675</v>
      </c>
      <c r="W354" s="186">
        <f t="shared" si="86"/>
        <v>-48150</v>
      </c>
      <c r="X354" s="275" t="s">
        <v>5571</v>
      </c>
      <c r="AH354" s="20">
        <v>74</v>
      </c>
      <c r="AI354" s="20" t="s">
        <v>4962</v>
      </c>
      <c r="AJ354" s="115">
        <v>50000</v>
      </c>
      <c r="AK354" s="20">
        <v>0</v>
      </c>
      <c r="AL354" s="20">
        <f t="shared" si="84"/>
        <v>652</v>
      </c>
      <c r="AM354" s="20">
        <f t="shared" si="85"/>
        <v>32600000</v>
      </c>
      <c r="AN354" s="20"/>
    </row>
    <row r="355" spans="17:45">
      <c r="Q355" s="97" t="s">
        <v>5037</v>
      </c>
      <c r="R355" s="93">
        <v>744000</v>
      </c>
      <c r="T355" s="19" t="s">
        <v>5572</v>
      </c>
      <c r="U355" s="19">
        <v>2874</v>
      </c>
      <c r="V355" s="115">
        <v>2613.1284000000001</v>
      </c>
      <c r="W355" s="115">
        <f t="shared" si="86"/>
        <v>7510131.0216000006</v>
      </c>
      <c r="X355" s="276" t="s">
        <v>5128</v>
      </c>
      <c r="AH355" s="252">
        <v>75</v>
      </c>
      <c r="AI355" s="252" t="s">
        <v>4962</v>
      </c>
      <c r="AJ355" s="243">
        <v>50000</v>
      </c>
      <c r="AK355" s="252">
        <v>2</v>
      </c>
      <c r="AL355" s="252">
        <f t="shared" si="84"/>
        <v>652</v>
      </c>
      <c r="AM355" s="252">
        <f t="shared" si="85"/>
        <v>32600000</v>
      </c>
      <c r="AN355" s="252"/>
    </row>
    <row r="356" spans="17:45">
      <c r="Q356" s="97" t="s">
        <v>5042</v>
      </c>
      <c r="R356" s="93">
        <v>65000</v>
      </c>
      <c r="T356" s="19" t="s">
        <v>5578</v>
      </c>
      <c r="U356" s="19">
        <v>2847</v>
      </c>
      <c r="V356" s="115">
        <v>2556.3841000000002</v>
      </c>
      <c r="W356" s="115">
        <f t="shared" si="86"/>
        <v>7278025.5327000003</v>
      </c>
      <c r="X356" s="276" t="s">
        <v>5128</v>
      </c>
      <c r="AH356" s="20">
        <v>76</v>
      </c>
      <c r="AI356" s="20" t="s">
        <v>4966</v>
      </c>
      <c r="AJ356" s="115">
        <v>20000000</v>
      </c>
      <c r="AK356" s="20">
        <v>7</v>
      </c>
      <c r="AL356" s="20">
        <f t="shared" si="84"/>
        <v>650</v>
      </c>
      <c r="AM356" s="20">
        <f t="shared" si="85"/>
        <v>13000000000</v>
      </c>
      <c r="AN356" s="20" t="s">
        <v>4967</v>
      </c>
    </row>
    <row r="357" spans="17:45">
      <c r="Q357" s="97" t="s">
        <v>5013</v>
      </c>
      <c r="R357" s="93">
        <v>-14053702</v>
      </c>
      <c r="T357" s="19" t="s">
        <v>5578</v>
      </c>
      <c r="U357" s="19">
        <v>1222</v>
      </c>
      <c r="V357" s="115">
        <v>2556.3841000000002</v>
      </c>
      <c r="W357" s="115">
        <f t="shared" si="86"/>
        <v>3123901.3702000002</v>
      </c>
      <c r="X357" s="276" t="s">
        <v>5579</v>
      </c>
      <c r="Y357" t="s">
        <v>25</v>
      </c>
      <c r="Z357" t="s">
        <v>25</v>
      </c>
      <c r="AH357" s="20">
        <v>77</v>
      </c>
      <c r="AI357" s="20" t="s">
        <v>4977</v>
      </c>
      <c r="AJ357" s="115">
        <v>50000</v>
      </c>
      <c r="AK357" s="20">
        <v>0</v>
      </c>
      <c r="AL357" s="20">
        <f t="shared" si="84"/>
        <v>643</v>
      </c>
      <c r="AM357" s="20">
        <f t="shared" si="85"/>
        <v>32150000</v>
      </c>
      <c r="AN357" s="20"/>
    </row>
    <row r="358" spans="17:45" ht="18" customHeight="1">
      <c r="Q358" s="97" t="s">
        <v>5078</v>
      </c>
      <c r="R358" s="93">
        <v>3555678</v>
      </c>
      <c r="T358" s="19" t="s">
        <v>5587</v>
      </c>
      <c r="U358" s="19">
        <v>73</v>
      </c>
      <c r="V358" s="115">
        <v>2672.0459999999998</v>
      </c>
      <c r="W358" s="115">
        <f t="shared" si="86"/>
        <v>195059.35799999998</v>
      </c>
      <c r="X358" s="276" t="s">
        <v>5128</v>
      </c>
      <c r="AH358" s="147">
        <v>78</v>
      </c>
      <c r="AI358" s="147" t="s">
        <v>4977</v>
      </c>
      <c r="AJ358" s="186">
        <v>50000</v>
      </c>
      <c r="AK358" s="147">
        <v>7</v>
      </c>
      <c r="AL358" s="147">
        <f t="shared" si="84"/>
        <v>643</v>
      </c>
      <c r="AM358" s="147">
        <f t="shared" si="85"/>
        <v>32150000</v>
      </c>
      <c r="AN358" s="147"/>
      <c r="AS358" t="s">
        <v>25</v>
      </c>
    </row>
    <row r="359" spans="17:45" ht="21" customHeight="1">
      <c r="Q359" s="97" t="s">
        <v>5083</v>
      </c>
      <c r="R359" s="93">
        <v>3495</v>
      </c>
      <c r="T359" s="187" t="s">
        <v>5592</v>
      </c>
      <c r="U359" s="187">
        <v>-19</v>
      </c>
      <c r="V359" s="186">
        <v>2598.1260000000002</v>
      </c>
      <c r="W359" s="186">
        <f t="shared" si="86"/>
        <v>-49364.394</v>
      </c>
      <c r="X359" s="275" t="s">
        <v>5571</v>
      </c>
      <c r="Y359" t="s">
        <v>25</v>
      </c>
      <c r="AH359" s="20">
        <v>79</v>
      </c>
      <c r="AI359" s="20" t="s">
        <v>4983</v>
      </c>
      <c r="AJ359" s="115">
        <v>2480000</v>
      </c>
      <c r="AK359" s="20">
        <v>0</v>
      </c>
      <c r="AL359" s="20">
        <f t="shared" si="84"/>
        <v>636</v>
      </c>
      <c r="AM359" s="20">
        <f t="shared" si="85"/>
        <v>1577280000</v>
      </c>
      <c r="AN359" s="20"/>
    </row>
    <row r="360" spans="17:45" ht="30">
      <c r="Q360" s="97" t="s">
        <v>5085</v>
      </c>
      <c r="R360" s="93">
        <v>6000000</v>
      </c>
      <c r="T360" s="19" t="s">
        <v>5592</v>
      </c>
      <c r="U360" s="19">
        <v>332</v>
      </c>
      <c r="V360" s="115">
        <v>2598.1260000000002</v>
      </c>
      <c r="W360" s="115">
        <f t="shared" si="86"/>
        <v>862577.83200000005</v>
      </c>
      <c r="X360" s="276" t="s">
        <v>5593</v>
      </c>
      <c r="Y360" t="s">
        <v>25</v>
      </c>
      <c r="Z360" t="s">
        <v>25</v>
      </c>
      <c r="AH360" s="147">
        <v>80</v>
      </c>
      <c r="AI360" s="147" t="s">
        <v>4983</v>
      </c>
      <c r="AJ360" s="186">
        <v>2480000</v>
      </c>
      <c r="AK360" s="147">
        <v>12</v>
      </c>
      <c r="AL360" s="147">
        <f t="shared" si="84"/>
        <v>636</v>
      </c>
      <c r="AM360" s="147">
        <f t="shared" si="85"/>
        <v>1577280000</v>
      </c>
      <c r="AN360" s="147"/>
    </row>
    <row r="361" spans="17:45">
      <c r="Q361" s="97" t="s">
        <v>5086</v>
      </c>
      <c r="R361" s="93">
        <v>17220</v>
      </c>
      <c r="T361" s="19" t="s">
        <v>5594</v>
      </c>
      <c r="U361" s="19">
        <v>346</v>
      </c>
      <c r="V361" s="115">
        <v>2659.8510000000001</v>
      </c>
      <c r="W361" s="115">
        <f t="shared" si="86"/>
        <v>920308.446</v>
      </c>
      <c r="X361" s="276" t="s">
        <v>5128</v>
      </c>
      <c r="AH361" s="20">
        <v>81</v>
      </c>
      <c r="AI361" s="20" t="s">
        <v>4990</v>
      </c>
      <c r="AJ361" s="115">
        <v>-24159500</v>
      </c>
      <c r="AK361" s="20">
        <v>4</v>
      </c>
      <c r="AL361" s="20">
        <f t="shared" si="84"/>
        <v>624</v>
      </c>
      <c r="AM361" s="20">
        <f t="shared" si="85"/>
        <v>-15075528000</v>
      </c>
      <c r="AN361" s="20" t="s">
        <v>4998</v>
      </c>
    </row>
    <row r="362" spans="17:45" ht="18.75" customHeight="1">
      <c r="Q362" s="97" t="s">
        <v>5088</v>
      </c>
      <c r="R362" s="93">
        <v>8249</v>
      </c>
      <c r="T362" s="19" t="s">
        <v>5595</v>
      </c>
      <c r="U362" s="19">
        <v>1722</v>
      </c>
      <c r="V362" s="115">
        <v>2692.1079220000001</v>
      </c>
      <c r="W362" s="115">
        <f t="shared" si="86"/>
        <v>4635809.8416840006</v>
      </c>
      <c r="X362" s="276" t="s">
        <v>5128</v>
      </c>
      <c r="AH362" s="20">
        <v>82</v>
      </c>
      <c r="AI362" s="20" t="s">
        <v>5000</v>
      </c>
      <c r="AJ362" s="115">
        <v>400000</v>
      </c>
      <c r="AK362" s="20">
        <v>3</v>
      </c>
      <c r="AL362" s="20">
        <f t="shared" si="84"/>
        <v>620</v>
      </c>
      <c r="AM362" s="20">
        <f t="shared" si="85"/>
        <v>248000000</v>
      </c>
      <c r="AN362" s="20"/>
    </row>
    <row r="363" spans="17:45" ht="30">
      <c r="Q363" s="97" t="s">
        <v>5088</v>
      </c>
      <c r="R363" s="93">
        <v>6937</v>
      </c>
      <c r="T363" s="187" t="s">
        <v>5597</v>
      </c>
      <c r="U363" s="187">
        <v>-44</v>
      </c>
      <c r="V363" s="186">
        <v>2725.4</v>
      </c>
      <c r="W363" s="186">
        <f t="shared" si="86"/>
        <v>-119917.6</v>
      </c>
      <c r="X363" s="275" t="s">
        <v>5571</v>
      </c>
      <c r="AH363" s="147">
        <v>83</v>
      </c>
      <c r="AI363" s="147" t="s">
        <v>5007</v>
      </c>
      <c r="AJ363" s="186">
        <v>40000</v>
      </c>
      <c r="AK363" s="147">
        <v>0</v>
      </c>
      <c r="AL363" s="147">
        <f t="shared" si="84"/>
        <v>617</v>
      </c>
      <c r="AM363" s="147">
        <f t="shared" si="85"/>
        <v>24680000</v>
      </c>
      <c r="AN363" s="147"/>
    </row>
    <row r="364" spans="17:45">
      <c r="Q364" s="97" t="s">
        <v>5091</v>
      </c>
      <c r="R364" s="93">
        <v>4046552</v>
      </c>
      <c r="T364" s="19" t="s">
        <v>5597</v>
      </c>
      <c r="U364" s="19">
        <v>106</v>
      </c>
      <c r="V364" s="115">
        <v>2725.4</v>
      </c>
      <c r="W364" s="115">
        <f t="shared" si="86"/>
        <v>288892.40000000002</v>
      </c>
      <c r="X364" s="276" t="s">
        <v>452</v>
      </c>
      <c r="AH364" s="20">
        <v>84</v>
      </c>
      <c r="AI364" s="20" t="s">
        <v>5007</v>
      </c>
      <c r="AJ364" s="115">
        <v>40000</v>
      </c>
      <c r="AK364" s="20">
        <v>5</v>
      </c>
      <c r="AL364" s="20">
        <f t="shared" si="84"/>
        <v>617</v>
      </c>
      <c r="AM364" s="20">
        <f t="shared" si="85"/>
        <v>24680000</v>
      </c>
      <c r="AN364" s="20"/>
    </row>
    <row r="365" spans="17:45">
      <c r="Q365" s="97" t="s">
        <v>5098</v>
      </c>
      <c r="R365" s="93">
        <v>-3884943</v>
      </c>
      <c r="T365" s="187" t="s">
        <v>5586</v>
      </c>
      <c r="U365" s="187">
        <v>-55</v>
      </c>
      <c r="V365" s="186">
        <v>2730.81</v>
      </c>
      <c r="W365" s="186">
        <f t="shared" si="86"/>
        <v>-150194.54999999999</v>
      </c>
      <c r="X365" s="333" t="s">
        <v>5571</v>
      </c>
      <c r="AH365" s="20">
        <v>85</v>
      </c>
      <c r="AI365" s="20" t="s">
        <v>5015</v>
      </c>
      <c r="AJ365" s="115">
        <v>200000</v>
      </c>
      <c r="AK365" s="20">
        <v>1</v>
      </c>
      <c r="AL365" s="20">
        <f t="shared" si="84"/>
        <v>612</v>
      </c>
      <c r="AM365" s="20">
        <f t="shared" si="85"/>
        <v>122400000</v>
      </c>
      <c r="AN365" s="20"/>
    </row>
    <row r="366" spans="17:45" ht="30">
      <c r="Q366" s="97" t="s">
        <v>5124</v>
      </c>
      <c r="R366" s="93">
        <v>6022</v>
      </c>
      <c r="T366" s="187" t="s">
        <v>5608</v>
      </c>
      <c r="U366" s="187">
        <v>-66</v>
      </c>
      <c r="V366" s="186">
        <v>3031</v>
      </c>
      <c r="W366" s="186">
        <f t="shared" si="86"/>
        <v>-200046</v>
      </c>
      <c r="X366" s="275" t="s">
        <v>5571</v>
      </c>
      <c r="AH366" s="20">
        <v>86</v>
      </c>
      <c r="AI366" s="20" t="s">
        <v>5019</v>
      </c>
      <c r="AJ366" s="115">
        <v>500000</v>
      </c>
      <c r="AK366" s="20">
        <v>2</v>
      </c>
      <c r="AL366" s="20">
        <f t="shared" ref="AL366:AL395" si="87">AK366+AL367</f>
        <v>611</v>
      </c>
      <c r="AM366" s="20">
        <f t="shared" ref="AM366:AM395" si="88">AJ366*AL366</f>
        <v>305500000</v>
      </c>
      <c r="AN366" s="20"/>
    </row>
    <row r="367" spans="17:45" ht="30">
      <c r="Q367" s="97" t="s">
        <v>5127</v>
      </c>
      <c r="R367" s="93">
        <v>400000</v>
      </c>
      <c r="T367" s="187" t="s">
        <v>5613</v>
      </c>
      <c r="U367" s="187">
        <v>-42</v>
      </c>
      <c r="V367" s="186">
        <v>2883</v>
      </c>
      <c r="W367" s="186">
        <f t="shared" si="86"/>
        <v>-121086</v>
      </c>
      <c r="X367" s="275" t="s">
        <v>5571</v>
      </c>
      <c r="AH367" s="20">
        <v>87</v>
      </c>
      <c r="AI367" s="20" t="s">
        <v>5021</v>
      </c>
      <c r="AJ367" s="115">
        <v>500000</v>
      </c>
      <c r="AK367" s="20">
        <v>3</v>
      </c>
      <c r="AL367" s="20">
        <f t="shared" si="87"/>
        <v>609</v>
      </c>
      <c r="AM367" s="20">
        <f t="shared" si="88"/>
        <v>304500000</v>
      </c>
      <c r="AN367" s="20"/>
    </row>
    <row r="368" spans="17:45">
      <c r="Q368" s="97" t="s">
        <v>5127</v>
      </c>
      <c r="R368" s="93">
        <v>92847</v>
      </c>
      <c r="T368" s="19" t="s">
        <v>5625</v>
      </c>
      <c r="U368" s="19">
        <v>25901</v>
      </c>
      <c r="V368" s="115">
        <v>2258.9090000000001</v>
      </c>
      <c r="W368" s="115">
        <f t="shared" si="86"/>
        <v>58508002.009000003</v>
      </c>
      <c r="X368" s="276" t="s">
        <v>5128</v>
      </c>
      <c r="AH368" s="20">
        <v>88</v>
      </c>
      <c r="AI368" s="20" t="s">
        <v>5012</v>
      </c>
      <c r="AJ368" s="115">
        <v>250000</v>
      </c>
      <c r="AK368" s="20">
        <v>0</v>
      </c>
      <c r="AL368" s="20">
        <f t="shared" si="87"/>
        <v>606</v>
      </c>
      <c r="AM368" s="20">
        <f t="shared" si="88"/>
        <v>151500000</v>
      </c>
      <c r="AN368" s="20"/>
    </row>
    <row r="369" spans="17:45">
      <c r="Q369" s="97" t="s">
        <v>5131</v>
      </c>
      <c r="R369" s="93">
        <v>-100000</v>
      </c>
      <c r="S369" t="s">
        <v>25</v>
      </c>
      <c r="T369" s="19" t="s">
        <v>5627</v>
      </c>
      <c r="U369" s="19">
        <v>951</v>
      </c>
      <c r="V369" s="115">
        <v>2361.2150799999999</v>
      </c>
      <c r="W369" s="115">
        <f t="shared" si="86"/>
        <v>2245515.5410799999</v>
      </c>
      <c r="X369" s="276" t="s">
        <v>5128</v>
      </c>
      <c r="AH369" s="252">
        <v>89</v>
      </c>
      <c r="AI369" s="252" t="s">
        <v>5012</v>
      </c>
      <c r="AJ369" s="243">
        <v>245000</v>
      </c>
      <c r="AK369" s="252">
        <v>16</v>
      </c>
      <c r="AL369" s="252">
        <f t="shared" si="87"/>
        <v>606</v>
      </c>
      <c r="AM369" s="252">
        <f t="shared" si="88"/>
        <v>148470000</v>
      </c>
      <c r="AN369" s="252"/>
    </row>
    <row r="370" spans="17:45">
      <c r="Q370" s="97" t="s">
        <v>5136</v>
      </c>
      <c r="R370" s="93">
        <v>10000000</v>
      </c>
      <c r="T370" s="19" t="s">
        <v>5629</v>
      </c>
      <c r="U370" s="19">
        <v>7622</v>
      </c>
      <c r="V370" s="115">
        <v>2414.6810999999998</v>
      </c>
      <c r="W370" s="115">
        <f t="shared" si="86"/>
        <v>18404699.3442</v>
      </c>
      <c r="X370" s="276" t="s">
        <v>5128</v>
      </c>
      <c r="AB370" t="s">
        <v>25</v>
      </c>
      <c r="AH370" s="20">
        <v>90</v>
      </c>
      <c r="AI370" s="20" t="s">
        <v>5046</v>
      </c>
      <c r="AJ370" s="115">
        <v>312598</v>
      </c>
      <c r="AK370" s="20">
        <v>0</v>
      </c>
      <c r="AL370" s="20">
        <f t="shared" si="87"/>
        <v>590</v>
      </c>
      <c r="AM370" s="20">
        <f t="shared" si="88"/>
        <v>184432820</v>
      </c>
      <c r="AN370" s="20"/>
    </row>
    <row r="371" spans="17:45">
      <c r="Q371" s="97" t="s">
        <v>5140</v>
      </c>
      <c r="R371" s="93">
        <v>-400000</v>
      </c>
      <c r="T371" s="19" t="s">
        <v>5629</v>
      </c>
      <c r="U371" s="19">
        <v>-282</v>
      </c>
      <c r="V371" s="115">
        <v>2414.6810999999998</v>
      </c>
      <c r="W371" s="115">
        <f t="shared" si="86"/>
        <v>-680940.07019999996</v>
      </c>
      <c r="X371" s="276" t="s">
        <v>5630</v>
      </c>
      <c r="AH371" s="20">
        <v>91</v>
      </c>
      <c r="AI371" s="20" t="s">
        <v>5046</v>
      </c>
      <c r="AJ371" s="115">
        <v>780000</v>
      </c>
      <c r="AK371" s="20">
        <v>0</v>
      </c>
      <c r="AL371" s="20">
        <f t="shared" si="87"/>
        <v>590</v>
      </c>
      <c r="AM371" s="20">
        <f t="shared" si="88"/>
        <v>460200000</v>
      </c>
      <c r="AN371" s="20"/>
    </row>
    <row r="372" spans="17:45">
      <c r="Q372" s="97" t="s">
        <v>5142</v>
      </c>
      <c r="R372" s="93">
        <v>5649</v>
      </c>
      <c r="T372" s="19" t="s">
        <v>5629</v>
      </c>
      <c r="U372" s="19">
        <v>20162</v>
      </c>
      <c r="V372" s="115">
        <v>2414.6810999999998</v>
      </c>
      <c r="W372" s="115">
        <f t="shared" si="86"/>
        <v>48684800.338199995</v>
      </c>
      <c r="X372" s="276" t="s">
        <v>5631</v>
      </c>
      <c r="AH372" s="193">
        <v>92</v>
      </c>
      <c r="AI372" s="193" t="s">
        <v>5046</v>
      </c>
      <c r="AJ372" s="194">
        <v>-300000</v>
      </c>
      <c r="AK372" s="193">
        <v>1</v>
      </c>
      <c r="AL372" s="193">
        <f t="shared" si="87"/>
        <v>590</v>
      </c>
      <c r="AM372" s="193">
        <f t="shared" si="88"/>
        <v>-177000000</v>
      </c>
      <c r="AN372" s="193"/>
      <c r="AR372" t="s">
        <v>25</v>
      </c>
    </row>
    <row r="373" spans="17:45">
      <c r="Q373" s="97" t="s">
        <v>5143</v>
      </c>
      <c r="R373" s="93">
        <v>460000</v>
      </c>
      <c r="T373" s="19" t="s">
        <v>5629</v>
      </c>
      <c r="U373" s="19">
        <v>-20162</v>
      </c>
      <c r="V373" s="115">
        <v>2414.6810999999998</v>
      </c>
      <c r="W373" s="115">
        <f t="shared" si="86"/>
        <v>-48684800.338199995</v>
      </c>
      <c r="X373" s="276" t="s">
        <v>744</v>
      </c>
      <c r="AH373" s="20">
        <v>93</v>
      </c>
      <c r="AI373" s="20" t="s">
        <v>5013</v>
      </c>
      <c r="AJ373" s="115">
        <v>300000</v>
      </c>
      <c r="AK373" s="20">
        <v>0</v>
      </c>
      <c r="AL373" s="20">
        <f t="shared" si="87"/>
        <v>589</v>
      </c>
      <c r="AM373" s="20">
        <f t="shared" si="88"/>
        <v>176700000</v>
      </c>
      <c r="AN373" s="20"/>
    </row>
    <row r="374" spans="17:45">
      <c r="Q374" s="97" t="s">
        <v>5143</v>
      </c>
      <c r="R374" s="93">
        <v>1300000</v>
      </c>
      <c r="T374" s="19" t="s">
        <v>5632</v>
      </c>
      <c r="U374" s="19">
        <v>977</v>
      </c>
      <c r="V374" s="115">
        <v>2317.971947</v>
      </c>
      <c r="W374" s="115">
        <f t="shared" si="86"/>
        <v>2264658.5922190002</v>
      </c>
      <c r="X374" s="276" t="s">
        <v>5128</v>
      </c>
      <c r="AH374" s="20">
        <v>94</v>
      </c>
      <c r="AI374" s="20" t="s">
        <v>5013</v>
      </c>
      <c r="AJ374" s="115">
        <v>8660000</v>
      </c>
      <c r="AK374" s="20">
        <v>8</v>
      </c>
      <c r="AL374" s="20">
        <f t="shared" si="87"/>
        <v>589</v>
      </c>
      <c r="AM374" s="20">
        <f t="shared" si="88"/>
        <v>5100740000</v>
      </c>
      <c r="AN374" s="20"/>
      <c r="AS374" t="s">
        <v>25</v>
      </c>
    </row>
    <row r="375" spans="17:45">
      <c r="Q375" s="97" t="s">
        <v>977</v>
      </c>
      <c r="R375" s="93">
        <v>7300000</v>
      </c>
      <c r="T375" s="19" t="s">
        <v>5634</v>
      </c>
      <c r="U375" s="19">
        <v>10280</v>
      </c>
      <c r="V375" s="115">
        <v>2225.429357</v>
      </c>
      <c r="W375" s="115">
        <f t="shared" si="86"/>
        <v>22877413.789960001</v>
      </c>
      <c r="X375" s="276" t="s">
        <v>5128</v>
      </c>
      <c r="AH375" s="147">
        <v>95</v>
      </c>
      <c r="AI375" s="147" t="s">
        <v>5063</v>
      </c>
      <c r="AJ375" s="186">
        <v>200000</v>
      </c>
      <c r="AK375" s="147">
        <v>3</v>
      </c>
      <c r="AL375" s="147">
        <f t="shared" si="87"/>
        <v>581</v>
      </c>
      <c r="AM375" s="147">
        <f t="shared" si="88"/>
        <v>116200000</v>
      </c>
      <c r="AN375" s="147"/>
    </row>
    <row r="376" spans="17:45">
      <c r="Q376" s="97" t="s">
        <v>4256</v>
      </c>
      <c r="R376" s="93">
        <v>21203</v>
      </c>
      <c r="T376" s="19" t="s">
        <v>5637</v>
      </c>
      <c r="U376" s="19">
        <v>1022</v>
      </c>
      <c r="V376" s="115">
        <v>2311.6824240000001</v>
      </c>
      <c r="W376" s="115">
        <f t="shared" si="86"/>
        <v>2362539.4373280001</v>
      </c>
      <c r="X376" s="276" t="s">
        <v>5128</v>
      </c>
      <c r="Z376" t="s">
        <v>25</v>
      </c>
      <c r="AH376" s="147">
        <v>96</v>
      </c>
      <c r="AI376" s="147" t="s">
        <v>5066</v>
      </c>
      <c r="AJ376" s="186">
        <v>20000</v>
      </c>
      <c r="AK376" s="147">
        <v>1</v>
      </c>
      <c r="AL376" s="147">
        <f t="shared" si="87"/>
        <v>578</v>
      </c>
      <c r="AM376" s="147">
        <f t="shared" si="88"/>
        <v>11560000</v>
      </c>
      <c r="AN376" s="147"/>
    </row>
    <row r="377" spans="17:45">
      <c r="Q377" s="97" t="s">
        <v>5141</v>
      </c>
      <c r="R377" s="93">
        <v>34550</v>
      </c>
      <c r="T377" s="19" t="s">
        <v>5638</v>
      </c>
      <c r="U377" s="19">
        <v>6818</v>
      </c>
      <c r="V377" s="115">
        <v>2352.988656</v>
      </c>
      <c r="W377" s="115">
        <f t="shared" si="86"/>
        <v>16042676.656608</v>
      </c>
      <c r="X377" s="276" t="s">
        <v>5128</v>
      </c>
      <c r="AH377" s="20">
        <v>97</v>
      </c>
      <c r="AI377" s="20" t="s">
        <v>5076</v>
      </c>
      <c r="AJ377" s="115">
        <v>14340000</v>
      </c>
      <c r="AK377" s="20">
        <v>7</v>
      </c>
      <c r="AL377" s="20">
        <f t="shared" si="87"/>
        <v>577</v>
      </c>
      <c r="AM377" s="20">
        <f t="shared" si="88"/>
        <v>8274180000</v>
      </c>
      <c r="AN377" s="20"/>
      <c r="AR377" t="s">
        <v>25</v>
      </c>
    </row>
    <row r="378" spans="17:45">
      <c r="Q378" s="97" t="s">
        <v>5178</v>
      </c>
      <c r="R378" s="93">
        <v>-2134406</v>
      </c>
      <c r="T378" s="19" t="s">
        <v>5639</v>
      </c>
      <c r="U378" s="19">
        <v>8023</v>
      </c>
      <c r="V378" s="115">
        <v>2293.8167079999998</v>
      </c>
      <c r="W378" s="115">
        <f t="shared" si="86"/>
        <v>18403291.448284</v>
      </c>
      <c r="X378" s="276" t="s">
        <v>5128</v>
      </c>
      <c r="AH378" s="20">
        <v>98</v>
      </c>
      <c r="AI378" s="20" t="s">
        <v>5083</v>
      </c>
      <c r="AJ378" s="115">
        <v>10000000</v>
      </c>
      <c r="AK378" s="20">
        <v>6</v>
      </c>
      <c r="AL378" s="20">
        <f t="shared" si="87"/>
        <v>570</v>
      </c>
      <c r="AM378" s="20">
        <f t="shared" si="88"/>
        <v>5700000000</v>
      </c>
      <c r="AN378" s="20" t="s">
        <v>4687</v>
      </c>
    </row>
    <row r="379" spans="17:45">
      <c r="Q379" s="97" t="s">
        <v>5181</v>
      </c>
      <c r="R379" s="93">
        <v>-618906</v>
      </c>
      <c r="T379" s="19" t="s">
        <v>5642</v>
      </c>
      <c r="U379" s="19">
        <v>4666</v>
      </c>
      <c r="V379" s="115">
        <v>2263.4906230000001</v>
      </c>
      <c r="W379" s="115">
        <f t="shared" si="86"/>
        <v>10561447.246918</v>
      </c>
      <c r="X379" s="276" t="s">
        <v>5128</v>
      </c>
      <c r="AH379" s="20">
        <v>99</v>
      </c>
      <c r="AI379" s="20" t="s">
        <v>5088</v>
      </c>
      <c r="AJ379" s="115">
        <v>4033949</v>
      </c>
      <c r="AK379" s="20">
        <v>2</v>
      </c>
      <c r="AL379" s="20">
        <f t="shared" si="87"/>
        <v>564</v>
      </c>
      <c r="AM379" s="20">
        <f t="shared" si="88"/>
        <v>2275147236</v>
      </c>
      <c r="AN379" s="20" t="s">
        <v>5090</v>
      </c>
    </row>
    <row r="380" spans="17:45">
      <c r="Q380" s="97" t="s">
        <v>5223</v>
      </c>
      <c r="R380" s="93">
        <v>-54615</v>
      </c>
      <c r="T380" s="19" t="s">
        <v>5643</v>
      </c>
      <c r="U380" s="19">
        <v>542</v>
      </c>
      <c r="V380" s="115">
        <v>2263.4906230000001</v>
      </c>
      <c r="W380" s="115">
        <f t="shared" si="86"/>
        <v>1226811.9176660001</v>
      </c>
      <c r="X380" s="276" t="s">
        <v>5128</v>
      </c>
      <c r="Y380" t="s">
        <v>25</v>
      </c>
      <c r="AH380" s="147">
        <v>100</v>
      </c>
      <c r="AI380" s="147" t="s">
        <v>5094</v>
      </c>
      <c r="AJ380" s="186">
        <v>11500000</v>
      </c>
      <c r="AK380" s="147">
        <v>2</v>
      </c>
      <c r="AL380" s="147">
        <f t="shared" si="87"/>
        <v>562</v>
      </c>
      <c r="AM380" s="147">
        <f t="shared" si="88"/>
        <v>6463000000</v>
      </c>
      <c r="AN380" s="147" t="s">
        <v>5096</v>
      </c>
    </row>
    <row r="381" spans="17:45">
      <c r="Q381" s="97" t="s">
        <v>5268</v>
      </c>
      <c r="R381" s="93">
        <v>18000000</v>
      </c>
      <c r="T381" s="19" t="s">
        <v>5644</v>
      </c>
      <c r="U381" s="19">
        <v>16629</v>
      </c>
      <c r="V381" s="115">
        <v>2367.7887540000002</v>
      </c>
      <c r="W381" s="115">
        <f t="shared" si="86"/>
        <v>39373959.190266006</v>
      </c>
      <c r="X381" s="276" t="s">
        <v>5128</v>
      </c>
      <c r="AA381" t="s">
        <v>25</v>
      </c>
      <c r="AH381" s="147">
        <v>101</v>
      </c>
      <c r="AI381" s="147" t="s">
        <v>5098</v>
      </c>
      <c r="AJ381" s="186">
        <v>250000</v>
      </c>
      <c r="AK381" s="147">
        <v>3</v>
      </c>
      <c r="AL381" s="147">
        <f t="shared" si="87"/>
        <v>560</v>
      </c>
      <c r="AM381" s="147">
        <f t="shared" si="88"/>
        <v>140000000</v>
      </c>
      <c r="AN381" s="147"/>
      <c r="AP381" t="s">
        <v>25</v>
      </c>
    </row>
    <row r="382" spans="17:45">
      <c r="Q382" s="97" t="s">
        <v>5275</v>
      </c>
      <c r="R382" s="93">
        <v>20000000</v>
      </c>
      <c r="T382" s="19" t="s">
        <v>5649</v>
      </c>
      <c r="U382" s="19">
        <v>11765</v>
      </c>
      <c r="V382" s="115">
        <v>2354.7375320000001</v>
      </c>
      <c r="W382" s="115">
        <f t="shared" si="86"/>
        <v>27703487.063980002</v>
      </c>
      <c r="X382" s="276" t="s">
        <v>5128</v>
      </c>
      <c r="AH382" s="147">
        <v>102</v>
      </c>
      <c r="AI382" s="147" t="s">
        <v>5123</v>
      </c>
      <c r="AJ382" s="186">
        <v>6000000</v>
      </c>
      <c r="AK382" s="147">
        <v>1</v>
      </c>
      <c r="AL382" s="147">
        <f t="shared" si="87"/>
        <v>557</v>
      </c>
      <c r="AM382" s="147">
        <f t="shared" si="88"/>
        <v>3342000000</v>
      </c>
      <c r="AN382" s="147" t="s">
        <v>5096</v>
      </c>
    </row>
    <row r="383" spans="17:45">
      <c r="Q383" s="97" t="s">
        <v>5350</v>
      </c>
      <c r="R383" s="93">
        <v>27694196</v>
      </c>
      <c r="T383" s="19" t="s">
        <v>5650</v>
      </c>
      <c r="U383" s="19">
        <v>3672</v>
      </c>
      <c r="V383" s="115">
        <v>2379.873826</v>
      </c>
      <c r="W383" s="115">
        <f t="shared" si="86"/>
        <v>8738896.6890719999</v>
      </c>
      <c r="X383" s="276" t="s">
        <v>5128</v>
      </c>
      <c r="AH383" s="147">
        <v>103</v>
      </c>
      <c r="AI383" s="147" t="s">
        <v>5124</v>
      </c>
      <c r="AJ383" s="186">
        <v>1500000</v>
      </c>
      <c r="AK383" s="147">
        <v>6</v>
      </c>
      <c r="AL383" s="147">
        <f t="shared" si="87"/>
        <v>556</v>
      </c>
      <c r="AM383" s="147">
        <f t="shared" si="88"/>
        <v>834000000</v>
      </c>
      <c r="AN383" s="147" t="s">
        <v>5096</v>
      </c>
    </row>
    <row r="384" spans="17:45">
      <c r="Q384" s="97" t="s">
        <v>5351</v>
      </c>
      <c r="R384" s="93">
        <v>7211722</v>
      </c>
      <c r="T384" s="19" t="s">
        <v>4185</v>
      </c>
      <c r="U384" s="19">
        <v>140</v>
      </c>
      <c r="V384" s="115">
        <v>2487.154767</v>
      </c>
      <c r="W384" s="115">
        <f t="shared" si="86"/>
        <v>348201.66738</v>
      </c>
      <c r="X384" s="276" t="s">
        <v>5128</v>
      </c>
      <c r="Y384" t="s">
        <v>25</v>
      </c>
      <c r="AH384" s="20">
        <v>104</v>
      </c>
      <c r="AI384" s="20" t="s">
        <v>960</v>
      </c>
      <c r="AJ384" s="115">
        <v>-3960043</v>
      </c>
      <c r="AK384" s="20">
        <v>2</v>
      </c>
      <c r="AL384" s="20">
        <f t="shared" si="87"/>
        <v>550</v>
      </c>
      <c r="AM384" s="20">
        <f t="shared" si="88"/>
        <v>-2178023650</v>
      </c>
      <c r="AN384" s="20"/>
    </row>
    <row r="385" spans="16:45">
      <c r="Q385" s="97" t="s">
        <v>5359</v>
      </c>
      <c r="R385" s="93">
        <v>8481864</v>
      </c>
      <c r="T385" s="19" t="s">
        <v>5652</v>
      </c>
      <c r="U385" s="19">
        <v>1616</v>
      </c>
      <c r="V385" s="115">
        <v>2573.0760479999999</v>
      </c>
      <c r="W385" s="115">
        <f t="shared" si="86"/>
        <v>4158090.8935679998</v>
      </c>
      <c r="X385" s="276" t="s">
        <v>5128</v>
      </c>
      <c r="AH385" s="20">
        <v>105</v>
      </c>
      <c r="AI385" s="20" t="s">
        <v>5142</v>
      </c>
      <c r="AJ385" s="115">
        <v>230000</v>
      </c>
      <c r="AK385" s="20">
        <v>0</v>
      </c>
      <c r="AL385" s="20">
        <f t="shared" si="87"/>
        <v>548</v>
      </c>
      <c r="AM385" s="20">
        <f t="shared" si="88"/>
        <v>126040000</v>
      </c>
      <c r="AN385" s="20"/>
    </row>
    <row r="386" spans="16:45">
      <c r="Q386" s="97" t="s">
        <v>5364</v>
      </c>
      <c r="R386" s="93">
        <v>1558697</v>
      </c>
      <c r="T386" s="187" t="s">
        <v>5653</v>
      </c>
      <c r="U386" s="187">
        <v>5682</v>
      </c>
      <c r="V386" s="186">
        <v>2639.970566</v>
      </c>
      <c r="W386" s="186">
        <f t="shared" si="86"/>
        <v>15000312.756012</v>
      </c>
      <c r="X386" s="275" t="s">
        <v>5952</v>
      </c>
      <c r="Y386" t="s">
        <v>25</v>
      </c>
      <c r="AH386" s="147">
        <v>106</v>
      </c>
      <c r="AI386" s="147" t="s">
        <v>5142</v>
      </c>
      <c r="AJ386" s="186">
        <v>230000</v>
      </c>
      <c r="AK386" s="147">
        <v>1</v>
      </c>
      <c r="AL386" s="147">
        <f t="shared" si="87"/>
        <v>548</v>
      </c>
      <c r="AM386" s="147">
        <f t="shared" si="88"/>
        <v>126040000</v>
      </c>
      <c r="AN386" s="147"/>
      <c r="AQ386" t="s">
        <v>25</v>
      </c>
    </row>
    <row r="387" spans="16:45">
      <c r="Q387" s="97" t="s">
        <v>5365</v>
      </c>
      <c r="R387" s="93">
        <v>9042009</v>
      </c>
      <c r="T387" s="187" t="s">
        <v>5653</v>
      </c>
      <c r="U387" s="187">
        <v>-2272</v>
      </c>
      <c r="V387" s="186">
        <v>2639.970566</v>
      </c>
      <c r="W387" s="186">
        <f t="shared" si="86"/>
        <v>-5998013.1259519998</v>
      </c>
      <c r="X387" s="275" t="s">
        <v>5663</v>
      </c>
      <c r="AF387" s="94" t="s">
        <v>25</v>
      </c>
      <c r="AH387" s="147">
        <v>107</v>
      </c>
      <c r="AI387" s="147" t="s">
        <v>5143</v>
      </c>
      <c r="AJ387" s="186">
        <v>500000</v>
      </c>
      <c r="AK387" s="147">
        <v>1</v>
      </c>
      <c r="AL387" s="147">
        <f t="shared" si="87"/>
        <v>547</v>
      </c>
      <c r="AM387" s="147">
        <f t="shared" si="88"/>
        <v>273500000</v>
      </c>
      <c r="AN387" s="147"/>
    </row>
    <row r="388" spans="16:45">
      <c r="P388" t="s">
        <v>25</v>
      </c>
      <c r="Q388" s="97" t="s">
        <v>5369</v>
      </c>
      <c r="R388" s="93">
        <v>94969</v>
      </c>
      <c r="T388" s="19" t="s">
        <v>5653</v>
      </c>
      <c r="U388" s="19">
        <v>2272</v>
      </c>
      <c r="V388" s="115">
        <v>2639.970566</v>
      </c>
      <c r="W388" s="115">
        <f t="shared" si="86"/>
        <v>5998013.1259519998</v>
      </c>
      <c r="X388" s="276" t="s">
        <v>5662</v>
      </c>
      <c r="AH388" s="20">
        <v>108</v>
      </c>
      <c r="AI388" s="20" t="s">
        <v>5146</v>
      </c>
      <c r="AJ388" s="115">
        <v>-880000</v>
      </c>
      <c r="AK388" s="20">
        <v>4</v>
      </c>
      <c r="AL388" s="20">
        <f t="shared" si="87"/>
        <v>546</v>
      </c>
      <c r="AM388" s="20">
        <f t="shared" si="88"/>
        <v>-480480000</v>
      </c>
      <c r="AN388" s="20"/>
      <c r="AS388" t="s">
        <v>25</v>
      </c>
    </row>
    <row r="389" spans="16:45" ht="30">
      <c r="Q389" s="97" t="s">
        <v>5369</v>
      </c>
      <c r="R389" s="93">
        <v>40000000</v>
      </c>
      <c r="T389" s="19" t="s">
        <v>5653</v>
      </c>
      <c r="U389" s="19">
        <v>4434</v>
      </c>
      <c r="V389" s="115">
        <v>2639.970566</v>
      </c>
      <c r="W389" s="115">
        <f t="shared" si="86"/>
        <v>11705629.489644</v>
      </c>
      <c r="X389" s="276" t="s">
        <v>5664</v>
      </c>
      <c r="AH389" s="193">
        <v>109</v>
      </c>
      <c r="AI389" s="193" t="s">
        <v>5150</v>
      </c>
      <c r="AJ389" s="194">
        <v>873000</v>
      </c>
      <c r="AK389" s="193">
        <v>0</v>
      </c>
      <c r="AL389" s="193">
        <f t="shared" si="87"/>
        <v>542</v>
      </c>
      <c r="AM389" s="193">
        <f t="shared" si="88"/>
        <v>473166000</v>
      </c>
      <c r="AN389" s="193" t="s">
        <v>5096</v>
      </c>
    </row>
    <row r="390" spans="16:45">
      <c r="Q390" s="97" t="s">
        <v>5370</v>
      </c>
      <c r="R390" s="93">
        <v>2806274</v>
      </c>
      <c r="T390" s="19" t="s">
        <v>5653</v>
      </c>
      <c r="U390" s="19">
        <v>2349</v>
      </c>
      <c r="V390" s="115">
        <v>2639.970566</v>
      </c>
      <c r="W390" s="115">
        <f t="shared" si="86"/>
        <v>6201290.859534</v>
      </c>
      <c r="X390" s="276" t="s">
        <v>5665</v>
      </c>
      <c r="AH390" s="20">
        <v>110</v>
      </c>
      <c r="AI390" s="20" t="s">
        <v>5150</v>
      </c>
      <c r="AJ390" s="115">
        <v>127000</v>
      </c>
      <c r="AK390" s="20">
        <v>0</v>
      </c>
      <c r="AL390" s="20">
        <f t="shared" si="87"/>
        <v>542</v>
      </c>
      <c r="AM390" s="20">
        <f t="shared" si="88"/>
        <v>68834000</v>
      </c>
      <c r="AN390" s="20" t="s">
        <v>5096</v>
      </c>
    </row>
    <row r="391" spans="16:45" ht="30">
      <c r="Q391" s="97" t="s">
        <v>5378</v>
      </c>
      <c r="R391" s="93">
        <v>1331702</v>
      </c>
      <c r="S391" t="s">
        <v>25</v>
      </c>
      <c r="T391" s="19" t="s">
        <v>5653</v>
      </c>
      <c r="U391" s="19">
        <v>-568</v>
      </c>
      <c r="V391" s="115">
        <v>2639.970566</v>
      </c>
      <c r="W391" s="115">
        <f t="shared" si="86"/>
        <v>-1499503.2814879999</v>
      </c>
      <c r="X391" s="276" t="s">
        <v>5666</v>
      </c>
      <c r="AH391" s="20">
        <v>111</v>
      </c>
      <c r="AI391" s="20" t="s">
        <v>5150</v>
      </c>
      <c r="AJ391" s="115">
        <v>73000</v>
      </c>
      <c r="AK391" s="20">
        <v>1</v>
      </c>
      <c r="AL391" s="20">
        <f t="shared" si="87"/>
        <v>542</v>
      </c>
      <c r="AM391" s="20">
        <f t="shared" si="88"/>
        <v>39566000</v>
      </c>
      <c r="AN391" s="20"/>
    </row>
    <row r="392" spans="16:45" ht="30">
      <c r="Q392" s="97" t="s">
        <v>5412</v>
      </c>
      <c r="R392" s="93">
        <v>851238</v>
      </c>
      <c r="T392" s="19" t="s">
        <v>5653</v>
      </c>
      <c r="U392" s="19">
        <v>568</v>
      </c>
      <c r="V392" s="115">
        <v>2639.970566</v>
      </c>
      <c r="W392" s="115">
        <f t="shared" si="86"/>
        <v>1499503.2814879999</v>
      </c>
      <c r="X392" s="276" t="s">
        <v>5666</v>
      </c>
      <c r="AH392" s="20">
        <v>112</v>
      </c>
      <c r="AI392" s="20" t="s">
        <v>977</v>
      </c>
      <c r="AJ392" s="115">
        <v>4300000</v>
      </c>
      <c r="AK392" s="20">
        <v>1</v>
      </c>
      <c r="AL392" s="20">
        <f t="shared" si="87"/>
        <v>541</v>
      </c>
      <c r="AM392" s="20">
        <f t="shared" si="88"/>
        <v>2326300000</v>
      </c>
      <c r="AN392" s="20"/>
    </row>
    <row r="393" spans="16:45">
      <c r="Q393" s="97" t="s">
        <v>5458</v>
      </c>
      <c r="R393" s="93">
        <v>652592</v>
      </c>
      <c r="T393" s="19" t="s">
        <v>5656</v>
      </c>
      <c r="U393" s="19">
        <v>4589</v>
      </c>
      <c r="V393" s="115">
        <v>2639.970566</v>
      </c>
      <c r="W393" s="115">
        <f t="shared" si="86"/>
        <v>12114824.927374</v>
      </c>
      <c r="X393" s="276" t="s">
        <v>5667</v>
      </c>
      <c r="AH393" s="20">
        <v>113</v>
      </c>
      <c r="AI393" s="20" t="s">
        <v>5025</v>
      </c>
      <c r="AJ393" s="115">
        <v>1600000</v>
      </c>
      <c r="AK393" s="20">
        <v>0</v>
      </c>
      <c r="AL393" s="20">
        <f t="shared" si="87"/>
        <v>540</v>
      </c>
      <c r="AM393" s="20">
        <f t="shared" si="88"/>
        <v>864000000</v>
      </c>
      <c r="AN393" s="20"/>
      <c r="AR393" t="s">
        <v>25</v>
      </c>
    </row>
    <row r="394" spans="16:45">
      <c r="Q394" s="97" t="s">
        <v>5459</v>
      </c>
      <c r="R394" s="93">
        <v>554139</v>
      </c>
      <c r="T394" s="19" t="s">
        <v>5656</v>
      </c>
      <c r="U394" s="19">
        <v>41959</v>
      </c>
      <c r="V394" s="115">
        <v>2639.970566</v>
      </c>
      <c r="W394" s="115">
        <f t="shared" ref="W394:W475" si="89">U394*V394</f>
        <v>110770524.97879399</v>
      </c>
      <c r="X394" s="276" t="s">
        <v>5128</v>
      </c>
      <c r="Z394" t="s">
        <v>25</v>
      </c>
      <c r="AH394" s="20">
        <v>114</v>
      </c>
      <c r="AI394" s="20" t="s">
        <v>4256</v>
      </c>
      <c r="AJ394" s="115">
        <v>-10000000</v>
      </c>
      <c r="AK394" s="20">
        <v>1</v>
      </c>
      <c r="AL394" s="20">
        <f t="shared" si="87"/>
        <v>540</v>
      </c>
      <c r="AM394" s="20">
        <f t="shared" si="88"/>
        <v>-5400000000</v>
      </c>
      <c r="AN394" s="20" t="s">
        <v>5156</v>
      </c>
    </row>
    <row r="395" spans="16:45">
      <c r="Q395" s="97" t="s">
        <v>5460</v>
      </c>
      <c r="R395" s="93">
        <v>70373089</v>
      </c>
      <c r="T395" s="19" t="s">
        <v>5669</v>
      </c>
      <c r="U395" s="19">
        <v>2486</v>
      </c>
      <c r="V395" s="115">
        <v>2688.7156100000002</v>
      </c>
      <c r="W395" s="115">
        <f t="shared" si="89"/>
        <v>6684147.0064600008</v>
      </c>
      <c r="X395" s="276" t="s">
        <v>5128</v>
      </c>
      <c r="AH395" s="20">
        <v>115</v>
      </c>
      <c r="AI395" s="20" t="s">
        <v>5155</v>
      </c>
      <c r="AJ395" s="115">
        <v>571000</v>
      </c>
      <c r="AK395" s="20">
        <v>4</v>
      </c>
      <c r="AL395" s="20">
        <f t="shared" si="87"/>
        <v>539</v>
      </c>
      <c r="AM395" s="20">
        <f t="shared" si="88"/>
        <v>307769000</v>
      </c>
      <c r="AN395" s="20"/>
    </row>
    <row r="396" spans="16:45">
      <c r="Q396" s="97" t="s">
        <v>5461</v>
      </c>
      <c r="R396" s="93">
        <v>1219655</v>
      </c>
      <c r="T396" s="19" t="s">
        <v>5673</v>
      </c>
      <c r="U396" s="19">
        <v>652</v>
      </c>
      <c r="V396" s="115">
        <v>2801.4344030000002</v>
      </c>
      <c r="W396" s="115">
        <f t="shared" si="89"/>
        <v>1826535.2307560001</v>
      </c>
      <c r="X396" s="276" t="s">
        <v>5128</v>
      </c>
      <c r="AA396" t="s">
        <v>25</v>
      </c>
      <c r="AH396" s="20">
        <v>116</v>
      </c>
      <c r="AI396" s="20" t="s">
        <v>5157</v>
      </c>
      <c r="AJ396" s="115">
        <v>200000</v>
      </c>
      <c r="AK396" s="20">
        <v>3</v>
      </c>
      <c r="AL396" s="20">
        <f t="shared" ref="AL396:AL407" si="90">AK396+AL397</f>
        <v>535</v>
      </c>
      <c r="AM396" s="20">
        <f t="shared" ref="AM396:AM407" si="91">AJ396*AL396</f>
        <v>107000000</v>
      </c>
      <c r="AN396" s="20"/>
    </row>
    <row r="397" spans="16:45">
      <c r="Q397" s="97" t="s">
        <v>5462</v>
      </c>
      <c r="R397" s="93">
        <v>15350146</v>
      </c>
      <c r="T397" s="187" t="s">
        <v>5673</v>
      </c>
      <c r="U397" s="187">
        <v>-536</v>
      </c>
      <c r="V397" s="186">
        <v>2801.4344030000002</v>
      </c>
      <c r="W397" s="186">
        <f t="shared" si="89"/>
        <v>-1501568.8400080001</v>
      </c>
      <c r="X397" s="275" t="s">
        <v>5686</v>
      </c>
      <c r="AH397" s="147">
        <v>117</v>
      </c>
      <c r="AI397" s="147" t="s">
        <v>5163</v>
      </c>
      <c r="AJ397" s="186">
        <v>50000</v>
      </c>
      <c r="AK397" s="147">
        <v>7</v>
      </c>
      <c r="AL397" s="147">
        <f t="shared" si="90"/>
        <v>532</v>
      </c>
      <c r="AM397" s="147">
        <f t="shared" si="91"/>
        <v>26600000</v>
      </c>
      <c r="AN397" s="147"/>
    </row>
    <row r="398" spans="16:45" ht="21" customHeight="1">
      <c r="Q398" s="97" t="s">
        <v>5466</v>
      </c>
      <c r="R398" s="93">
        <v>121018</v>
      </c>
      <c r="T398" s="19" t="s">
        <v>5677</v>
      </c>
      <c r="U398" s="19">
        <v>1351</v>
      </c>
      <c r="V398" s="115">
        <v>2647.94</v>
      </c>
      <c r="W398" s="115">
        <f t="shared" si="89"/>
        <v>3577366.94</v>
      </c>
      <c r="X398" s="276" t="s">
        <v>5128</v>
      </c>
      <c r="AA398" t="s">
        <v>25</v>
      </c>
      <c r="AH398" s="20">
        <v>118</v>
      </c>
      <c r="AI398" s="20" t="s">
        <v>5171</v>
      </c>
      <c r="AJ398" s="115">
        <v>-500000</v>
      </c>
      <c r="AK398" s="20">
        <v>12</v>
      </c>
      <c r="AL398" s="20">
        <f t="shared" si="90"/>
        <v>525</v>
      </c>
      <c r="AM398" s="20">
        <f t="shared" si="91"/>
        <v>-262500000</v>
      </c>
      <c r="AN398" s="20"/>
    </row>
    <row r="399" spans="16:45">
      <c r="Q399" s="97" t="s">
        <v>5482</v>
      </c>
      <c r="R399" s="93">
        <v>1024993</v>
      </c>
      <c r="T399" s="19" t="s">
        <v>5679</v>
      </c>
      <c r="U399" s="19">
        <v>8402</v>
      </c>
      <c r="V399" s="115">
        <v>2527.8539839999999</v>
      </c>
      <c r="W399" s="115">
        <f t="shared" si="89"/>
        <v>21239029.173567999</v>
      </c>
      <c r="X399" s="276" t="s">
        <v>5128</v>
      </c>
      <c r="Z399" t="s">
        <v>25</v>
      </c>
      <c r="AA399" t="s">
        <v>25</v>
      </c>
      <c r="AH399" s="147">
        <v>119</v>
      </c>
      <c r="AI399" s="147" t="s">
        <v>976</v>
      </c>
      <c r="AJ399" s="186">
        <v>-50000</v>
      </c>
      <c r="AK399" s="147">
        <v>0</v>
      </c>
      <c r="AL399" s="147">
        <f t="shared" si="90"/>
        <v>513</v>
      </c>
      <c r="AM399" s="147">
        <f t="shared" si="91"/>
        <v>-25650000</v>
      </c>
      <c r="AN399" s="147"/>
    </row>
    <row r="400" spans="16:45" ht="18" customHeight="1">
      <c r="Q400" s="97" t="s">
        <v>5483</v>
      </c>
      <c r="R400" s="93">
        <v>1948077</v>
      </c>
      <c r="T400" s="19" t="s">
        <v>5683</v>
      </c>
      <c r="U400" s="19">
        <v>98141</v>
      </c>
      <c r="V400" s="115">
        <v>2475.593813</v>
      </c>
      <c r="W400" s="115">
        <f t="shared" si="89"/>
        <v>242957252.40163299</v>
      </c>
      <c r="X400" s="276" t="s">
        <v>5128</v>
      </c>
      <c r="AH400" s="20">
        <v>120</v>
      </c>
      <c r="AI400" s="20" t="s">
        <v>976</v>
      </c>
      <c r="AJ400" s="115">
        <v>-50000</v>
      </c>
      <c r="AK400" s="20">
        <v>28</v>
      </c>
      <c r="AL400" s="20">
        <f t="shared" si="90"/>
        <v>513</v>
      </c>
      <c r="AM400" s="20">
        <f t="shared" si="91"/>
        <v>-25650000</v>
      </c>
      <c r="AN400" s="20"/>
    </row>
    <row r="401" spans="17:45" ht="21" customHeight="1">
      <c r="Q401" s="97" t="s">
        <v>5484</v>
      </c>
      <c r="R401" s="93">
        <v>50000120</v>
      </c>
      <c r="T401" s="19" t="s">
        <v>5687</v>
      </c>
      <c r="U401" s="19">
        <v>2910</v>
      </c>
      <c r="V401" s="115">
        <v>2528.240988</v>
      </c>
      <c r="W401" s="115">
        <f t="shared" si="89"/>
        <v>7357181.2750800001</v>
      </c>
      <c r="X401" s="276" t="s">
        <v>5128</v>
      </c>
      <c r="AD401" t="s">
        <v>25</v>
      </c>
      <c r="AH401" s="20">
        <v>121</v>
      </c>
      <c r="AI401" s="20" t="s">
        <v>5212</v>
      </c>
      <c r="AJ401" s="115">
        <v>-3020625</v>
      </c>
      <c r="AK401" s="20">
        <v>18</v>
      </c>
      <c r="AL401" s="20">
        <f t="shared" si="90"/>
        <v>485</v>
      </c>
      <c r="AM401" s="20">
        <f t="shared" si="91"/>
        <v>-1465003125</v>
      </c>
      <c r="AN401" s="20"/>
    </row>
    <row r="402" spans="17:45">
      <c r="Q402" s="97" t="s">
        <v>5512</v>
      </c>
      <c r="R402" s="93">
        <v>20000055</v>
      </c>
      <c r="T402" s="19" t="s">
        <v>5689</v>
      </c>
      <c r="U402" s="19">
        <v>5652</v>
      </c>
      <c r="V402" s="115">
        <v>2645.3312000000001</v>
      </c>
      <c r="W402" s="115">
        <f t="shared" si="89"/>
        <v>14951411.942400001</v>
      </c>
      <c r="X402" s="276" t="s">
        <v>5128</v>
      </c>
      <c r="AH402" s="20">
        <v>122</v>
      </c>
      <c r="AI402" s="20" t="s">
        <v>5223</v>
      </c>
      <c r="AJ402" s="115">
        <v>18000000</v>
      </c>
      <c r="AK402" s="20">
        <v>19</v>
      </c>
      <c r="AL402" s="20">
        <f t="shared" si="90"/>
        <v>467</v>
      </c>
      <c r="AM402" s="20">
        <f t="shared" si="91"/>
        <v>8406000000</v>
      </c>
      <c r="AN402" s="20"/>
      <c r="AS402" t="s">
        <v>25</v>
      </c>
    </row>
    <row r="403" spans="17:45">
      <c r="Q403" s="97" t="s">
        <v>5513</v>
      </c>
      <c r="R403" s="93">
        <v>5745697</v>
      </c>
      <c r="T403" s="19" t="s">
        <v>5693</v>
      </c>
      <c r="U403" s="19">
        <v>18764</v>
      </c>
      <c r="V403" s="115">
        <v>2554.2639829999998</v>
      </c>
      <c r="W403" s="115">
        <f t="shared" si="89"/>
        <v>47928209.377011999</v>
      </c>
      <c r="X403" s="276" t="s">
        <v>5128</v>
      </c>
      <c r="Y403" t="s">
        <v>25</v>
      </c>
      <c r="AH403" s="20">
        <v>123</v>
      </c>
      <c r="AI403" s="20" t="s">
        <v>5250</v>
      </c>
      <c r="AJ403" s="115">
        <v>2000000</v>
      </c>
      <c r="AK403" s="20">
        <v>6</v>
      </c>
      <c r="AL403" s="20">
        <f t="shared" si="90"/>
        <v>448</v>
      </c>
      <c r="AM403" s="20">
        <f t="shared" si="91"/>
        <v>896000000</v>
      </c>
      <c r="AN403" s="20"/>
    </row>
    <row r="404" spans="17:45">
      <c r="Q404" s="97" t="s">
        <v>5514</v>
      </c>
      <c r="R404" s="93">
        <v>908158</v>
      </c>
      <c r="T404" s="19" t="s">
        <v>5695</v>
      </c>
      <c r="U404" s="19">
        <v>930</v>
      </c>
      <c r="V404" s="115">
        <v>2453.3287089999999</v>
      </c>
      <c r="W404" s="115">
        <f t="shared" si="89"/>
        <v>2281595.69937</v>
      </c>
      <c r="X404" s="276" t="s">
        <v>5128</v>
      </c>
      <c r="AH404" s="147">
        <v>124</v>
      </c>
      <c r="AI404" s="147" t="s">
        <v>5259</v>
      </c>
      <c r="AJ404" s="186">
        <v>40000000</v>
      </c>
      <c r="AK404" s="147">
        <v>6</v>
      </c>
      <c r="AL404" s="147">
        <f t="shared" si="90"/>
        <v>442</v>
      </c>
      <c r="AM404" s="147">
        <f t="shared" si="91"/>
        <v>17680000000</v>
      </c>
      <c r="AN404" s="147"/>
    </row>
    <row r="405" spans="17:45">
      <c r="Q405" s="97" t="s">
        <v>5515</v>
      </c>
      <c r="R405" s="93">
        <v>12642697</v>
      </c>
      <c r="T405" s="19" t="s">
        <v>5697</v>
      </c>
      <c r="U405" s="19">
        <v>1167</v>
      </c>
      <c r="V405" s="115">
        <v>2540.6307069999998</v>
      </c>
      <c r="W405" s="115">
        <f t="shared" si="89"/>
        <v>2964916.035069</v>
      </c>
      <c r="X405" s="276" t="s">
        <v>5128</v>
      </c>
      <c r="AH405" s="20">
        <v>125</v>
      </c>
      <c r="AI405" s="20" t="s">
        <v>5268</v>
      </c>
      <c r="AJ405" s="115">
        <v>200000</v>
      </c>
      <c r="AK405" s="20">
        <v>0</v>
      </c>
      <c r="AL405" s="20">
        <f t="shared" si="90"/>
        <v>436</v>
      </c>
      <c r="AM405" s="20">
        <f t="shared" si="91"/>
        <v>87200000</v>
      </c>
      <c r="AN405" s="20"/>
    </row>
    <row r="406" spans="17:45">
      <c r="Q406" s="97" t="s">
        <v>5516</v>
      </c>
      <c r="R406" s="93">
        <v>12297317.81435</v>
      </c>
      <c r="T406" s="19" t="s">
        <v>5698</v>
      </c>
      <c r="U406" s="19">
        <v>2538</v>
      </c>
      <c r="V406" s="115">
        <v>2545.5277489999999</v>
      </c>
      <c r="W406" s="115">
        <f t="shared" si="89"/>
        <v>6460549.4269619994</v>
      </c>
      <c r="X406" s="276" t="s">
        <v>5128</v>
      </c>
      <c r="AH406" s="147">
        <v>126</v>
      </c>
      <c r="AI406" s="147" t="s">
        <v>5268</v>
      </c>
      <c r="AJ406" s="186">
        <v>200000</v>
      </c>
      <c r="AK406" s="147">
        <v>1</v>
      </c>
      <c r="AL406" s="147">
        <f t="shared" si="90"/>
        <v>436</v>
      </c>
      <c r="AM406" s="147">
        <f t="shared" si="91"/>
        <v>87200000</v>
      </c>
      <c r="AN406" s="147"/>
    </row>
    <row r="407" spans="17:45">
      <c r="Q407" s="97" t="s">
        <v>5517</v>
      </c>
      <c r="R407" s="93">
        <v>8959643.8508579992</v>
      </c>
      <c r="T407" s="19" t="s">
        <v>5700</v>
      </c>
      <c r="U407" s="19">
        <v>2106</v>
      </c>
      <c r="V407" s="115">
        <v>2474.9857059999999</v>
      </c>
      <c r="W407" s="115">
        <f t="shared" si="89"/>
        <v>5212319.8968359996</v>
      </c>
      <c r="X407" s="276" t="s">
        <v>5128</v>
      </c>
      <c r="Y407" t="s">
        <v>25</v>
      </c>
      <c r="AH407" s="20">
        <v>127</v>
      </c>
      <c r="AI407" s="20" t="s">
        <v>5271</v>
      </c>
      <c r="AJ407" s="115">
        <v>50000</v>
      </c>
      <c r="AK407" s="20">
        <v>4</v>
      </c>
      <c r="AL407" s="20">
        <f t="shared" si="90"/>
        <v>435</v>
      </c>
      <c r="AM407" s="20">
        <f t="shared" si="91"/>
        <v>21750000</v>
      </c>
      <c r="AN407" s="20"/>
    </row>
    <row r="408" spans="17:45">
      <c r="Q408" s="97" t="s">
        <v>5536</v>
      </c>
      <c r="R408" s="93">
        <v>15154095.839328</v>
      </c>
      <c r="T408" s="19" t="s">
        <v>5703</v>
      </c>
      <c r="U408" s="19">
        <v>1801</v>
      </c>
      <c r="V408" s="115">
        <v>2512.2134809999998</v>
      </c>
      <c r="W408" s="115">
        <f t="shared" si="89"/>
        <v>4524496.4792809999</v>
      </c>
      <c r="X408" s="276" t="s">
        <v>5128</v>
      </c>
      <c r="Z408" t="s">
        <v>25</v>
      </c>
      <c r="AH408" s="20">
        <v>128</v>
      </c>
      <c r="AI408" s="20" t="s">
        <v>5273</v>
      </c>
      <c r="AJ408" s="115">
        <v>100000</v>
      </c>
      <c r="AK408" s="20">
        <v>9</v>
      </c>
      <c r="AL408" s="20">
        <f t="shared" ref="AL408:AL418" si="92">AK408+AL409</f>
        <v>431</v>
      </c>
      <c r="AM408" s="20">
        <f t="shared" ref="AM408:AM418" si="93">AJ408*AL408</f>
        <v>43100000</v>
      </c>
      <c r="AN408" s="20"/>
    </row>
    <row r="409" spans="17:45">
      <c r="Q409" s="97" t="s">
        <v>5537</v>
      </c>
      <c r="R409" s="93">
        <v>50725508.571864001</v>
      </c>
      <c r="T409" s="19" t="s">
        <v>5705</v>
      </c>
      <c r="U409" s="19">
        <v>9184</v>
      </c>
      <c r="V409" s="115">
        <v>2489.76919</v>
      </c>
      <c r="W409" s="115">
        <f t="shared" si="89"/>
        <v>22866040.240959998</v>
      </c>
      <c r="X409" s="276" t="s">
        <v>5128</v>
      </c>
      <c r="Z409" t="s">
        <v>25</v>
      </c>
      <c r="AH409" s="20">
        <v>129</v>
      </c>
      <c r="AI409" s="20" t="s">
        <v>5289</v>
      </c>
      <c r="AJ409" s="115">
        <v>-550000</v>
      </c>
      <c r="AK409" s="20">
        <v>5</v>
      </c>
      <c r="AL409" s="20">
        <f t="shared" si="92"/>
        <v>422</v>
      </c>
      <c r="AM409" s="20">
        <f t="shared" si="93"/>
        <v>-232100000</v>
      </c>
      <c r="AN409" s="20"/>
    </row>
    <row r="410" spans="17:45">
      <c r="Q410" s="97" t="s">
        <v>5544</v>
      </c>
      <c r="R410" s="93">
        <v>2281961.458596</v>
      </c>
      <c r="T410" s="19" t="s">
        <v>5707</v>
      </c>
      <c r="U410" s="19">
        <v>6259</v>
      </c>
      <c r="V410" s="115">
        <v>2453.954988</v>
      </c>
      <c r="W410" s="115">
        <f t="shared" si="89"/>
        <v>15359304.269892</v>
      </c>
      <c r="X410" s="276" t="s">
        <v>5128</v>
      </c>
      <c r="Y410" t="s">
        <v>25</v>
      </c>
      <c r="AH410" s="20">
        <v>130</v>
      </c>
      <c r="AI410" s="20" t="s">
        <v>5294</v>
      </c>
      <c r="AJ410" s="115">
        <v>-29686490</v>
      </c>
      <c r="AK410" s="20">
        <v>1</v>
      </c>
      <c r="AL410" s="20">
        <f t="shared" si="92"/>
        <v>417</v>
      </c>
      <c r="AM410" s="20">
        <f t="shared" si="93"/>
        <v>-12379266330</v>
      </c>
      <c r="AN410" s="20"/>
    </row>
    <row r="411" spans="17:45">
      <c r="Q411" s="97" t="s">
        <v>5545</v>
      </c>
      <c r="R411" s="93">
        <v>10998285</v>
      </c>
      <c r="T411" s="19" t="s">
        <v>5709</v>
      </c>
      <c r="U411" s="19">
        <v>1223</v>
      </c>
      <c r="V411" s="115">
        <v>2345.4686710000001</v>
      </c>
      <c r="W411" s="115">
        <f t="shared" si="89"/>
        <v>2868508.1846330003</v>
      </c>
      <c r="X411" s="276" t="s">
        <v>5128</v>
      </c>
      <c r="AH411" s="20">
        <v>131</v>
      </c>
      <c r="AI411" s="20" t="s">
        <v>5302</v>
      </c>
      <c r="AJ411" s="115">
        <v>-9000000</v>
      </c>
      <c r="AK411" s="20">
        <v>8</v>
      </c>
      <c r="AL411" s="20">
        <f t="shared" si="92"/>
        <v>416</v>
      </c>
      <c r="AM411" s="20">
        <f t="shared" si="93"/>
        <v>-3744000000</v>
      </c>
      <c r="AN411" s="20"/>
    </row>
    <row r="412" spans="17:45">
      <c r="Q412" s="97" t="s">
        <v>5547</v>
      </c>
      <c r="R412" s="93">
        <v>983018.96187300002</v>
      </c>
      <c r="S412" t="s">
        <v>25</v>
      </c>
      <c r="T412" s="19" t="s">
        <v>5710</v>
      </c>
      <c r="U412" s="19">
        <v>7804</v>
      </c>
      <c r="V412" s="115">
        <v>2236.0831640000001</v>
      </c>
      <c r="W412" s="115">
        <f t="shared" si="89"/>
        <v>17450393.011856001</v>
      </c>
      <c r="X412" s="276" t="s">
        <v>5128</v>
      </c>
      <c r="AH412" s="20">
        <v>132</v>
      </c>
      <c r="AI412" s="20" t="s">
        <v>5346</v>
      </c>
      <c r="AJ412" s="115">
        <v>810000</v>
      </c>
      <c r="AK412" s="20">
        <v>2</v>
      </c>
      <c r="AL412" s="20">
        <f t="shared" si="92"/>
        <v>408</v>
      </c>
      <c r="AM412" s="20">
        <f t="shared" si="93"/>
        <v>330480000</v>
      </c>
      <c r="AN412" s="20"/>
    </row>
    <row r="413" spans="17:45">
      <c r="Q413" s="97" t="s">
        <v>5550</v>
      </c>
      <c r="R413" s="93">
        <v>17049271.032000002</v>
      </c>
      <c r="T413" s="19" t="s">
        <v>5711</v>
      </c>
      <c r="U413" s="19">
        <v>14589</v>
      </c>
      <c r="V413" s="115">
        <v>2151.5486500000002</v>
      </c>
      <c r="W413" s="115">
        <f t="shared" si="89"/>
        <v>31388943.254850004</v>
      </c>
      <c r="X413" s="276" t="s">
        <v>5128</v>
      </c>
      <c r="AH413" s="20">
        <v>133</v>
      </c>
      <c r="AI413" s="20" t="s">
        <v>5351</v>
      </c>
      <c r="AJ413" s="115">
        <v>-5000000</v>
      </c>
      <c r="AK413" s="20">
        <v>3</v>
      </c>
      <c r="AL413" s="20">
        <f t="shared" si="92"/>
        <v>406</v>
      </c>
      <c r="AM413" s="20">
        <f t="shared" si="93"/>
        <v>-2030000000</v>
      </c>
      <c r="AN413" s="20"/>
      <c r="AR413" t="s">
        <v>25</v>
      </c>
    </row>
    <row r="414" spans="17:45">
      <c r="Q414" s="97" t="s">
        <v>4212</v>
      </c>
      <c r="R414" s="93">
        <v>6829998</v>
      </c>
      <c r="T414" s="19" t="s">
        <v>5712</v>
      </c>
      <c r="U414" s="19">
        <v>14741</v>
      </c>
      <c r="V414" s="115">
        <v>2097.0148140000001</v>
      </c>
      <c r="W414" s="115">
        <f t="shared" si="89"/>
        <v>30912095.373174001</v>
      </c>
      <c r="X414" s="276" t="s">
        <v>5128</v>
      </c>
      <c r="Y414" t="s">
        <v>25</v>
      </c>
      <c r="Z414" t="s">
        <v>25</v>
      </c>
      <c r="AH414" s="20">
        <v>134</v>
      </c>
      <c r="AI414" s="20" t="s">
        <v>5359</v>
      </c>
      <c r="AJ414" s="115">
        <v>-26000000</v>
      </c>
      <c r="AK414" s="20">
        <v>0</v>
      </c>
      <c r="AL414" s="20">
        <f t="shared" si="92"/>
        <v>403</v>
      </c>
      <c r="AM414" s="20">
        <f t="shared" si="93"/>
        <v>-10478000000</v>
      </c>
      <c r="AN414" s="20"/>
    </row>
    <row r="415" spans="17:45">
      <c r="Q415" s="97" t="s">
        <v>5572</v>
      </c>
      <c r="R415" s="93">
        <v>6982608.8207999999</v>
      </c>
      <c r="T415" s="19" t="s">
        <v>5714</v>
      </c>
      <c r="U415" s="19">
        <v>10237</v>
      </c>
      <c r="V415" s="115">
        <v>1914.9092619999999</v>
      </c>
      <c r="W415" s="115">
        <f t="shared" si="89"/>
        <v>19602926.115093999</v>
      </c>
      <c r="X415" s="276" t="s">
        <v>5128</v>
      </c>
      <c r="Y415" t="s">
        <v>25</v>
      </c>
      <c r="AH415" s="252">
        <v>135</v>
      </c>
      <c r="AI415" s="252" t="s">
        <v>5359</v>
      </c>
      <c r="AJ415" s="243">
        <v>-26000000</v>
      </c>
      <c r="AK415" s="252">
        <v>1</v>
      </c>
      <c r="AL415" s="252">
        <f t="shared" si="92"/>
        <v>403</v>
      </c>
      <c r="AM415" s="252">
        <f t="shared" si="93"/>
        <v>-10478000000</v>
      </c>
      <c r="AN415" s="252"/>
      <c r="AS415" t="s">
        <v>25</v>
      </c>
    </row>
    <row r="416" spans="17:45">
      <c r="Q416" s="97" t="s">
        <v>5578</v>
      </c>
      <c r="R416" s="93">
        <v>7510131.0216000006</v>
      </c>
      <c r="S416" t="s">
        <v>25</v>
      </c>
      <c r="T416" s="19" t="s">
        <v>5718</v>
      </c>
      <c r="U416" s="19">
        <v>19211</v>
      </c>
      <c r="V416" s="115">
        <v>1793.6906100000001</v>
      </c>
      <c r="W416" s="115">
        <f t="shared" si="89"/>
        <v>34458590.308710001</v>
      </c>
      <c r="X416" s="276" t="s">
        <v>5128</v>
      </c>
      <c r="Z416" t="s">
        <v>25</v>
      </c>
      <c r="AH416" s="20">
        <v>136</v>
      </c>
      <c r="AI416" s="20" t="s">
        <v>5364</v>
      </c>
      <c r="AJ416" s="115">
        <v>-81800000</v>
      </c>
      <c r="AK416" s="20">
        <v>0</v>
      </c>
      <c r="AL416" s="20">
        <f t="shared" si="92"/>
        <v>402</v>
      </c>
      <c r="AM416" s="20">
        <f t="shared" si="93"/>
        <v>-32883600000</v>
      </c>
      <c r="AN416" s="20"/>
    </row>
    <row r="417" spans="17:45">
      <c r="Q417" s="97" t="s">
        <v>5587</v>
      </c>
      <c r="R417" s="93">
        <v>7278025.5327000003</v>
      </c>
      <c r="T417" s="19" t="s">
        <v>5721</v>
      </c>
      <c r="U417" s="19">
        <v>11599</v>
      </c>
      <c r="V417" s="115">
        <v>1870.667144</v>
      </c>
      <c r="W417" s="115">
        <f t="shared" si="89"/>
        <v>21697868.203256</v>
      </c>
      <c r="X417" s="276" t="s">
        <v>5128</v>
      </c>
      <c r="Y417" t="s">
        <v>25</v>
      </c>
      <c r="AH417" s="252">
        <v>137</v>
      </c>
      <c r="AI417" s="252" t="s">
        <v>5364</v>
      </c>
      <c r="AJ417" s="243">
        <v>-110000000</v>
      </c>
      <c r="AK417" s="252">
        <v>1</v>
      </c>
      <c r="AL417" s="252">
        <f t="shared" si="92"/>
        <v>402</v>
      </c>
      <c r="AM417" s="252">
        <f t="shared" si="93"/>
        <v>-44220000000</v>
      </c>
      <c r="AN417" s="252"/>
      <c r="AR417" t="s">
        <v>25</v>
      </c>
      <c r="AS417" t="s">
        <v>25</v>
      </c>
    </row>
    <row r="418" spans="17:45">
      <c r="Q418" s="97" t="s">
        <v>5592</v>
      </c>
      <c r="R418" s="93">
        <v>195059.35799999998</v>
      </c>
      <c r="T418" s="19" t="s">
        <v>5723</v>
      </c>
      <c r="U418" s="19">
        <v>14098</v>
      </c>
      <c r="V418" s="115">
        <v>1797.423695</v>
      </c>
      <c r="W418" s="115">
        <f t="shared" si="89"/>
        <v>25340079.252110001</v>
      </c>
      <c r="X418" s="276" t="s">
        <v>5128</v>
      </c>
      <c r="Y418" t="s">
        <v>25</v>
      </c>
      <c r="Z418" t="s">
        <v>25</v>
      </c>
      <c r="AH418" s="20">
        <v>138</v>
      </c>
      <c r="AI418" s="20" t="s">
        <v>5365</v>
      </c>
      <c r="AJ418" s="115">
        <v>-34000000</v>
      </c>
      <c r="AK418" s="20">
        <v>0</v>
      </c>
      <c r="AL418" s="20">
        <f t="shared" si="92"/>
        <v>401</v>
      </c>
      <c r="AM418" s="20">
        <f t="shared" si="93"/>
        <v>-13634000000</v>
      </c>
      <c r="AN418" s="20"/>
    </row>
    <row r="419" spans="17:45">
      <c r="Q419" s="97" t="s">
        <v>5594</v>
      </c>
      <c r="R419" s="93">
        <v>862577.83200000005</v>
      </c>
      <c r="T419" s="19" t="s">
        <v>5724</v>
      </c>
      <c r="U419" s="19">
        <v>8497</v>
      </c>
      <c r="V419" s="115">
        <v>1739.5531579999999</v>
      </c>
      <c r="W419" s="115">
        <f t="shared" si="89"/>
        <v>14780983.183526</v>
      </c>
      <c r="X419" s="276" t="s">
        <v>5128</v>
      </c>
      <c r="Y419" t="s">
        <v>25</v>
      </c>
      <c r="AH419" s="147">
        <v>139</v>
      </c>
      <c r="AI419" s="147" t="s">
        <v>5365</v>
      </c>
      <c r="AJ419" s="186">
        <v>-23900000</v>
      </c>
      <c r="AK419" s="147">
        <v>5</v>
      </c>
      <c r="AL419" s="147">
        <f t="shared" ref="AL419:AL424" si="94">AK419+AL420</f>
        <v>401</v>
      </c>
      <c r="AM419" s="147">
        <f t="shared" ref="AM419:AM424" si="95">AJ419*AL419</f>
        <v>-9583900000</v>
      </c>
      <c r="AN419" s="147"/>
    </row>
    <row r="420" spans="17:45" ht="30">
      <c r="Q420" s="97" t="s">
        <v>5595</v>
      </c>
      <c r="R420" s="93">
        <v>920308.446</v>
      </c>
      <c r="T420" s="310" t="s">
        <v>5727</v>
      </c>
      <c r="U420" s="310">
        <v>163820</v>
      </c>
      <c r="V420" s="88">
        <v>1588.685326</v>
      </c>
      <c r="W420" s="88">
        <f t="shared" si="89"/>
        <v>260258430.10532001</v>
      </c>
      <c r="X420" s="334" t="s">
        <v>5730</v>
      </c>
      <c r="Z420" t="s">
        <v>25</v>
      </c>
      <c r="AH420" s="20">
        <v>140</v>
      </c>
      <c r="AI420" s="20" t="s">
        <v>5378</v>
      </c>
      <c r="AJ420" s="115">
        <v>1000000</v>
      </c>
      <c r="AK420" s="20">
        <v>0</v>
      </c>
      <c r="AL420" s="20">
        <f t="shared" si="94"/>
        <v>396</v>
      </c>
      <c r="AM420" s="20">
        <f t="shared" si="95"/>
        <v>396000000</v>
      </c>
      <c r="AN420" s="20"/>
      <c r="AR420" t="s">
        <v>25</v>
      </c>
    </row>
    <row r="421" spans="17:45">
      <c r="Q421" s="97" t="s">
        <v>5597</v>
      </c>
      <c r="R421" s="93">
        <v>4635809.8416840006</v>
      </c>
      <c r="T421" s="19" t="s">
        <v>5727</v>
      </c>
      <c r="U421" s="19">
        <v>11207</v>
      </c>
      <c r="V421" s="115">
        <v>1588.685326</v>
      </c>
      <c r="W421" s="115">
        <f t="shared" si="89"/>
        <v>17804396.448481999</v>
      </c>
      <c r="X421" s="276" t="s">
        <v>5128</v>
      </c>
      <c r="AH421" s="147">
        <v>141</v>
      </c>
      <c r="AI421" s="147" t="s">
        <v>5378</v>
      </c>
      <c r="AJ421" s="186">
        <v>1000000</v>
      </c>
      <c r="AK421" s="147">
        <v>4</v>
      </c>
      <c r="AL421" s="147">
        <f t="shared" si="94"/>
        <v>396</v>
      </c>
      <c r="AM421" s="147">
        <f t="shared" si="95"/>
        <v>396000000</v>
      </c>
      <c r="AN421" s="147"/>
    </row>
    <row r="422" spans="17:45">
      <c r="Q422" s="97" t="s">
        <v>5626</v>
      </c>
      <c r="R422" s="93">
        <v>288892.40000000002</v>
      </c>
      <c r="T422" s="19" t="s">
        <v>5731</v>
      </c>
      <c r="U422" s="19">
        <v>7198</v>
      </c>
      <c r="V422" s="115">
        <v>1602.9918909999999</v>
      </c>
      <c r="W422" s="115">
        <f t="shared" si="89"/>
        <v>11538335.631417999</v>
      </c>
      <c r="X422" s="276" t="s">
        <v>5128</v>
      </c>
      <c r="AH422" s="20">
        <v>142</v>
      </c>
      <c r="AI422" s="20" t="s">
        <v>5384</v>
      </c>
      <c r="AJ422" s="115">
        <v>400000</v>
      </c>
      <c r="AK422" s="20">
        <v>0</v>
      </c>
      <c r="AL422" s="20">
        <f t="shared" si="94"/>
        <v>392</v>
      </c>
      <c r="AM422" s="20">
        <f t="shared" si="95"/>
        <v>156800000</v>
      </c>
      <c r="AN422" s="20"/>
    </row>
    <row r="423" spans="17:45">
      <c r="Q423" s="97" t="s">
        <v>5627</v>
      </c>
      <c r="R423" s="93">
        <v>58508002.009000003</v>
      </c>
      <c r="T423" s="19" t="s">
        <v>5732</v>
      </c>
      <c r="U423" s="19">
        <v>7804</v>
      </c>
      <c r="V423" s="115">
        <v>1592.7111440000001</v>
      </c>
      <c r="W423" s="115">
        <f t="shared" si="89"/>
        <v>12429517.767776001</v>
      </c>
      <c r="X423" s="276" t="s">
        <v>5128</v>
      </c>
      <c r="Y423" s="112"/>
      <c r="AH423" s="147">
        <v>143</v>
      </c>
      <c r="AI423" s="147" t="s">
        <v>5384</v>
      </c>
      <c r="AJ423" s="186">
        <v>400000</v>
      </c>
      <c r="AK423" s="147">
        <v>35</v>
      </c>
      <c r="AL423" s="147">
        <f t="shared" si="94"/>
        <v>392</v>
      </c>
      <c r="AM423" s="147">
        <f t="shared" si="95"/>
        <v>156800000</v>
      </c>
      <c r="AN423" s="147"/>
    </row>
    <row r="424" spans="17:45">
      <c r="Q424" s="97" t="s">
        <v>5629</v>
      </c>
      <c r="R424" s="93">
        <v>2245515.5410799999</v>
      </c>
      <c r="T424" s="19" t="s">
        <v>5743</v>
      </c>
      <c r="U424" s="19">
        <v>2827</v>
      </c>
      <c r="V424" s="115">
        <v>1779.6874809999999</v>
      </c>
      <c r="W424" s="115">
        <f t="shared" si="89"/>
        <v>5031176.5087869996</v>
      </c>
      <c r="X424" s="276" t="s">
        <v>5128</v>
      </c>
      <c r="Y424" t="s">
        <v>25</v>
      </c>
      <c r="Z424" t="s">
        <v>25</v>
      </c>
      <c r="AH424" s="20">
        <v>144</v>
      </c>
      <c r="AI424" s="20" t="s">
        <v>5418</v>
      </c>
      <c r="AJ424" s="115">
        <v>3000000</v>
      </c>
      <c r="AK424" s="20">
        <v>0</v>
      </c>
      <c r="AL424" s="20">
        <f t="shared" si="94"/>
        <v>357</v>
      </c>
      <c r="AM424" s="20">
        <f t="shared" si="95"/>
        <v>1071000000</v>
      </c>
      <c r="AN424" s="20"/>
    </row>
    <row r="425" spans="17:45">
      <c r="Q425" s="97" t="s">
        <v>5629</v>
      </c>
      <c r="R425" s="93">
        <v>18404699.3442</v>
      </c>
      <c r="S425" t="s">
        <v>25</v>
      </c>
      <c r="T425" s="19" t="s">
        <v>5745</v>
      </c>
      <c r="U425" s="19">
        <v>3385</v>
      </c>
      <c r="V425" s="115">
        <v>2015.5993820000001</v>
      </c>
      <c r="W425" s="115">
        <f t="shared" si="89"/>
        <v>6822803.9080700008</v>
      </c>
      <c r="X425" s="276" t="s">
        <v>5128</v>
      </c>
      <c r="AH425" s="147">
        <v>145</v>
      </c>
      <c r="AI425" s="147" t="s">
        <v>5418</v>
      </c>
      <c r="AJ425" s="186">
        <v>2725000</v>
      </c>
      <c r="AK425" s="147">
        <v>19</v>
      </c>
      <c r="AL425" s="147">
        <f t="shared" ref="AL425:AL428" si="96">AK425+AL426</f>
        <v>357</v>
      </c>
      <c r="AM425" s="147">
        <f t="shared" ref="AM425:AM428" si="97">AJ425*AL425</f>
        <v>972825000</v>
      </c>
      <c r="AN425" s="147"/>
    </row>
    <row r="426" spans="17:45">
      <c r="Q426" s="97" t="s">
        <v>5632</v>
      </c>
      <c r="R426" s="93">
        <v>48684800</v>
      </c>
      <c r="T426" s="19" t="s">
        <v>5749</v>
      </c>
      <c r="U426" s="19">
        <v>158</v>
      </c>
      <c r="V426" s="115">
        <v>2094.2388179999998</v>
      </c>
      <c r="W426" s="115">
        <f t="shared" si="89"/>
        <v>330889.73324399994</v>
      </c>
      <c r="X426" s="276" t="s">
        <v>5128</v>
      </c>
      <c r="Z426" t="s">
        <v>25</v>
      </c>
      <c r="AH426" s="147">
        <v>146</v>
      </c>
      <c r="AI426" s="147" t="s">
        <v>5312</v>
      </c>
      <c r="AJ426" s="186">
        <v>-8644090</v>
      </c>
      <c r="AK426" s="147">
        <v>0</v>
      </c>
      <c r="AL426" s="147">
        <f t="shared" si="96"/>
        <v>338</v>
      </c>
      <c r="AM426" s="147">
        <f t="shared" si="97"/>
        <v>-2921702420</v>
      </c>
      <c r="AN426" s="147" t="s">
        <v>4747</v>
      </c>
    </row>
    <row r="427" spans="17:45">
      <c r="Q427" s="97" t="s">
        <v>5634</v>
      </c>
      <c r="R427" s="93">
        <v>2264658.5922190002</v>
      </c>
      <c r="T427" s="19" t="s">
        <v>965</v>
      </c>
      <c r="U427" s="19">
        <v>5033</v>
      </c>
      <c r="V427" s="115">
        <v>2229.4976999999999</v>
      </c>
      <c r="W427" s="115">
        <f t="shared" si="89"/>
        <v>11221061.924099999</v>
      </c>
      <c r="X427" s="276" t="s">
        <v>5755</v>
      </c>
      <c r="AH427" s="20">
        <v>147</v>
      </c>
      <c r="AI427" s="20" t="s">
        <v>5312</v>
      </c>
      <c r="AJ427" s="115">
        <v>-65461942</v>
      </c>
      <c r="AK427" s="20">
        <v>1</v>
      </c>
      <c r="AL427" s="20">
        <f t="shared" si="96"/>
        <v>338</v>
      </c>
      <c r="AM427" s="20">
        <f t="shared" si="97"/>
        <v>-22126136396</v>
      </c>
      <c r="AN427" s="20" t="s">
        <v>4747</v>
      </c>
    </row>
    <row r="428" spans="17:45">
      <c r="Q428" s="97" t="s">
        <v>5637</v>
      </c>
      <c r="R428" s="93">
        <v>22877413.789960001</v>
      </c>
      <c r="T428" s="19" t="s">
        <v>5759</v>
      </c>
      <c r="U428" s="19">
        <v>2870</v>
      </c>
      <c r="V428" s="115">
        <v>2303.2467459999998</v>
      </c>
      <c r="W428" s="115">
        <f t="shared" si="89"/>
        <v>6610318.1610199995</v>
      </c>
      <c r="X428" s="276" t="s">
        <v>5128</v>
      </c>
      <c r="AH428" s="20">
        <v>148</v>
      </c>
      <c r="AI428" s="20" t="s">
        <v>5441</v>
      </c>
      <c r="AJ428" s="115">
        <v>35000000</v>
      </c>
      <c r="AK428" s="20">
        <v>15</v>
      </c>
      <c r="AL428" s="20">
        <f t="shared" si="96"/>
        <v>337</v>
      </c>
      <c r="AM428" s="20">
        <f t="shared" si="97"/>
        <v>11795000000</v>
      </c>
      <c r="AN428" s="20"/>
    </row>
    <row r="429" spans="17:45">
      <c r="Q429" s="97" t="s">
        <v>5638</v>
      </c>
      <c r="R429" s="93">
        <v>2362539.4373280001</v>
      </c>
      <c r="T429" s="19" t="s">
        <v>5760</v>
      </c>
      <c r="U429" s="19">
        <v>307</v>
      </c>
      <c r="V429" s="115">
        <v>2315.0266360000001</v>
      </c>
      <c r="W429" s="115">
        <f t="shared" si="89"/>
        <v>710713.17725199996</v>
      </c>
      <c r="X429" s="276" t="s">
        <v>5128</v>
      </c>
      <c r="AH429" s="147">
        <v>149</v>
      </c>
      <c r="AI429" s="147" t="s">
        <v>5462</v>
      </c>
      <c r="AJ429" s="186">
        <v>1400000</v>
      </c>
      <c r="AK429" s="147">
        <v>0</v>
      </c>
      <c r="AL429" s="147">
        <f t="shared" ref="AL429:AL431" si="98">AK429+AL430</f>
        <v>322</v>
      </c>
      <c r="AM429" s="147">
        <f t="shared" ref="AM429:AM432" si="99">AJ429*AL429</f>
        <v>450800000</v>
      </c>
      <c r="AN429" s="147"/>
    </row>
    <row r="430" spans="17:45" ht="30">
      <c r="Q430" s="97" t="s">
        <v>5639</v>
      </c>
      <c r="R430" s="93">
        <v>16042676.656608</v>
      </c>
      <c r="S430" t="s">
        <v>25</v>
      </c>
      <c r="T430" s="19" t="s">
        <v>5762</v>
      </c>
      <c r="U430" s="19">
        <v>35</v>
      </c>
      <c r="V430" s="115">
        <v>2315</v>
      </c>
      <c r="W430" s="115">
        <f t="shared" si="89"/>
        <v>81025</v>
      </c>
      <c r="X430" s="276" t="s">
        <v>5764</v>
      </c>
      <c r="Y430" t="s">
        <v>25</v>
      </c>
      <c r="AH430" s="20">
        <v>150</v>
      </c>
      <c r="AI430" s="20" t="s">
        <v>5462</v>
      </c>
      <c r="AJ430" s="115">
        <v>1600000</v>
      </c>
      <c r="AK430" s="20">
        <v>1</v>
      </c>
      <c r="AL430" s="20">
        <f t="shared" si="98"/>
        <v>322</v>
      </c>
      <c r="AM430" s="20">
        <f t="shared" si="99"/>
        <v>515200000</v>
      </c>
      <c r="AN430" s="20"/>
    </row>
    <row r="431" spans="17:45">
      <c r="Q431" s="97" t="s">
        <v>5642</v>
      </c>
      <c r="R431" s="93">
        <v>18403291.448284</v>
      </c>
      <c r="T431" s="19" t="s">
        <v>5765</v>
      </c>
      <c r="U431" s="19">
        <v>94</v>
      </c>
      <c r="V431" s="115">
        <v>2337.1980119999998</v>
      </c>
      <c r="W431" s="115">
        <f t="shared" si="89"/>
        <v>219696.613128</v>
      </c>
      <c r="X431" s="276" t="s">
        <v>5128</v>
      </c>
      <c r="AH431" s="147">
        <v>151</v>
      </c>
      <c r="AI431" s="147" t="s">
        <v>5465</v>
      </c>
      <c r="AJ431" s="186">
        <v>600000</v>
      </c>
      <c r="AK431" s="147">
        <v>0</v>
      </c>
      <c r="AL431" s="147">
        <f t="shared" si="98"/>
        <v>321</v>
      </c>
      <c r="AM431" s="147">
        <f t="shared" si="99"/>
        <v>192600000</v>
      </c>
      <c r="AN431" s="147" t="s">
        <v>5467</v>
      </c>
    </row>
    <row r="432" spans="17:45">
      <c r="Q432" s="97" t="s">
        <v>5643</v>
      </c>
      <c r="R432" s="93">
        <v>10561447.246918</v>
      </c>
      <c r="T432" s="19" t="s">
        <v>5766</v>
      </c>
      <c r="U432" s="19">
        <v>2534</v>
      </c>
      <c r="V432" s="115">
        <v>2381.7965300000001</v>
      </c>
      <c r="W432" s="115">
        <f t="shared" si="89"/>
        <v>6035472.4070199998</v>
      </c>
      <c r="X432" s="276" t="s">
        <v>5128</v>
      </c>
      <c r="Y432" t="s">
        <v>25</v>
      </c>
      <c r="AH432" s="20">
        <v>152</v>
      </c>
      <c r="AI432" s="20" t="s">
        <v>5465</v>
      </c>
      <c r="AJ432" s="115">
        <v>600000</v>
      </c>
      <c r="AK432" s="20">
        <v>9</v>
      </c>
      <c r="AL432" s="20">
        <f>AK432+AL433</f>
        <v>321</v>
      </c>
      <c r="AM432" s="20">
        <f t="shared" si="99"/>
        <v>192600000</v>
      </c>
      <c r="AN432" s="20" t="s">
        <v>5467</v>
      </c>
    </row>
    <row r="433" spans="17:45">
      <c r="Q433" s="97" t="s">
        <v>5644</v>
      </c>
      <c r="R433" s="93">
        <v>1226811.9176660001</v>
      </c>
      <c r="T433" s="19" t="s">
        <v>5768</v>
      </c>
      <c r="U433" s="19">
        <v>424</v>
      </c>
      <c r="V433" s="115">
        <v>2321.9017680000002</v>
      </c>
      <c r="W433" s="115">
        <f t="shared" si="89"/>
        <v>984486.34963200008</v>
      </c>
      <c r="X433" s="276" t="s">
        <v>5128</v>
      </c>
      <c r="AH433" s="20">
        <v>153</v>
      </c>
      <c r="AI433" s="20" t="s">
        <v>5484</v>
      </c>
      <c r="AJ433" s="115">
        <v>20000000</v>
      </c>
      <c r="AK433" s="20">
        <v>23</v>
      </c>
      <c r="AL433" s="20">
        <f t="shared" ref="AL433:AL434" si="100">AK433+AL434</f>
        <v>312</v>
      </c>
      <c r="AM433" s="20">
        <f t="shared" ref="AM433:AM435" si="101">AJ433*AL433</f>
        <v>6240000000</v>
      </c>
      <c r="AN433" s="20" t="s">
        <v>5502</v>
      </c>
    </row>
    <row r="434" spans="17:45">
      <c r="Q434" s="97" t="s">
        <v>5649</v>
      </c>
      <c r="R434" s="93">
        <v>39373959.190266006</v>
      </c>
      <c r="T434" s="187" t="s">
        <v>5770</v>
      </c>
      <c r="U434" s="187">
        <v>-32</v>
      </c>
      <c r="V434" s="186">
        <v>2221.2123710000001</v>
      </c>
      <c r="W434" s="186">
        <f t="shared" si="89"/>
        <v>-71078.795872000002</v>
      </c>
      <c r="X434" s="275" t="s">
        <v>5774</v>
      </c>
      <c r="Y434" t="s">
        <v>25</v>
      </c>
      <c r="AH434" s="20">
        <v>154</v>
      </c>
      <c r="AI434" s="20" t="s">
        <v>5528</v>
      </c>
      <c r="AJ434" s="115">
        <v>-46183500</v>
      </c>
      <c r="AK434" s="20">
        <v>0</v>
      </c>
      <c r="AL434" s="20">
        <f t="shared" si="100"/>
        <v>289</v>
      </c>
      <c r="AM434" s="20">
        <f t="shared" si="101"/>
        <v>-13347031500</v>
      </c>
      <c r="AN434" s="20" t="s">
        <v>4875</v>
      </c>
    </row>
    <row r="435" spans="17:45">
      <c r="Q435" s="97" t="s">
        <v>5650</v>
      </c>
      <c r="R435" s="93">
        <v>27703487.063980002</v>
      </c>
      <c r="T435" s="19" t="s">
        <v>5770</v>
      </c>
      <c r="U435" s="19">
        <v>157</v>
      </c>
      <c r="V435" s="115">
        <v>2221.2123710000001</v>
      </c>
      <c r="W435" s="115">
        <f t="shared" si="89"/>
        <v>348730.34224700002</v>
      </c>
      <c r="X435" s="276" t="s">
        <v>5775</v>
      </c>
      <c r="AH435" s="147">
        <v>155</v>
      </c>
      <c r="AI435" s="147" t="s">
        <v>5528</v>
      </c>
      <c r="AJ435" s="186">
        <v>-1812800</v>
      </c>
      <c r="AK435" s="147">
        <v>2</v>
      </c>
      <c r="AL435" s="147">
        <f>AK435+AL436</f>
        <v>289</v>
      </c>
      <c r="AM435" s="147">
        <f t="shared" si="101"/>
        <v>-523899200</v>
      </c>
      <c r="AN435" s="147" t="s">
        <v>4875</v>
      </c>
      <c r="AQ435" t="s">
        <v>25</v>
      </c>
    </row>
    <row r="436" spans="17:45">
      <c r="Q436" s="97" t="s">
        <v>4185</v>
      </c>
      <c r="R436" s="93">
        <v>8738896.6890719999</v>
      </c>
      <c r="T436" s="19" t="s">
        <v>5770</v>
      </c>
      <c r="U436" s="19">
        <v>965</v>
      </c>
      <c r="V436" s="115">
        <v>2221.2123710000001</v>
      </c>
      <c r="W436" s="115">
        <f t="shared" si="89"/>
        <v>2143469.938015</v>
      </c>
      <c r="X436" s="276" t="s">
        <v>5128</v>
      </c>
      <c r="Y436" t="s">
        <v>25</v>
      </c>
      <c r="Z436" t="s">
        <v>25</v>
      </c>
      <c r="AH436" s="20">
        <v>156</v>
      </c>
      <c r="AI436" s="20" t="s">
        <v>5532</v>
      </c>
      <c r="AJ436" s="115">
        <v>90000</v>
      </c>
      <c r="AK436" s="20">
        <v>0</v>
      </c>
      <c r="AL436" s="20">
        <f t="shared" ref="AL436:AL450" si="102">AK436+AL437</f>
        <v>287</v>
      </c>
      <c r="AM436" s="20">
        <f t="shared" ref="AM436:AM450" si="103">AJ436*AL436</f>
        <v>25830000</v>
      </c>
      <c r="AN436" s="20"/>
    </row>
    <row r="437" spans="17:45">
      <c r="Q437" s="97" t="s">
        <v>5652</v>
      </c>
      <c r="R437" s="93">
        <v>348201.66738</v>
      </c>
      <c r="T437" s="187" t="s">
        <v>5777</v>
      </c>
      <c r="U437" s="187">
        <v>596</v>
      </c>
      <c r="V437" s="186">
        <v>2180.6765719999999</v>
      </c>
      <c r="W437" s="186">
        <f t="shared" si="89"/>
        <v>1299683.236912</v>
      </c>
      <c r="X437" s="275" t="s">
        <v>1071</v>
      </c>
      <c r="Y437" t="s">
        <v>25</v>
      </c>
      <c r="AH437" s="147">
        <v>157</v>
      </c>
      <c r="AI437" s="147" t="s">
        <v>5532</v>
      </c>
      <c r="AJ437" s="186">
        <v>60000</v>
      </c>
      <c r="AK437" s="147">
        <v>5</v>
      </c>
      <c r="AL437" s="147">
        <f t="shared" si="102"/>
        <v>287</v>
      </c>
      <c r="AM437" s="147">
        <f t="shared" si="103"/>
        <v>17220000</v>
      </c>
      <c r="AN437" s="147"/>
    </row>
    <row r="438" spans="17:45">
      <c r="Q438" s="97" t="s">
        <v>5656</v>
      </c>
      <c r="R438" s="93">
        <v>4158090.8935679998</v>
      </c>
      <c r="T438" s="19" t="s">
        <v>5783</v>
      </c>
      <c r="U438" s="19">
        <v>1355</v>
      </c>
      <c r="V438" s="115">
        <v>2277.0926330000002</v>
      </c>
      <c r="W438" s="115">
        <f t="shared" si="89"/>
        <v>3085460.5177150001</v>
      </c>
      <c r="X438" s="276" t="s">
        <v>5128</v>
      </c>
      <c r="Z438" t="s">
        <v>25</v>
      </c>
      <c r="AH438" s="20">
        <v>158</v>
      </c>
      <c r="AI438" s="20" t="s">
        <v>5537</v>
      </c>
      <c r="AJ438" s="115">
        <v>50000000</v>
      </c>
      <c r="AK438" s="20">
        <v>29</v>
      </c>
      <c r="AL438" s="20">
        <f t="shared" si="102"/>
        <v>282</v>
      </c>
      <c r="AM438" s="20">
        <f t="shared" si="103"/>
        <v>14100000000</v>
      </c>
      <c r="AN438" s="20" t="s">
        <v>5539</v>
      </c>
    </row>
    <row r="439" spans="17:45">
      <c r="Q439" s="97" t="s">
        <v>5653</v>
      </c>
      <c r="R439" s="93">
        <v>110770524.97879399</v>
      </c>
      <c r="T439" s="19" t="s">
        <v>5785</v>
      </c>
      <c r="U439" s="19">
        <v>3742</v>
      </c>
      <c r="V439" s="115">
        <v>2207.7650429999999</v>
      </c>
      <c r="W439" s="115">
        <f t="shared" si="89"/>
        <v>8261456.790906</v>
      </c>
      <c r="X439" s="276" t="s">
        <v>5128</v>
      </c>
      <c r="Z439" t="s">
        <v>25</v>
      </c>
      <c r="AH439" s="20">
        <v>159</v>
      </c>
      <c r="AI439" s="20" t="s">
        <v>5597</v>
      </c>
      <c r="AJ439" s="115">
        <v>100000</v>
      </c>
      <c r="AK439" s="20">
        <v>1</v>
      </c>
      <c r="AL439" s="20">
        <f t="shared" si="102"/>
        <v>253</v>
      </c>
      <c r="AM439" s="20">
        <f t="shared" si="103"/>
        <v>25300000</v>
      </c>
      <c r="AN439" s="20"/>
      <c r="AS439" t="s">
        <v>25</v>
      </c>
    </row>
    <row r="440" spans="17:45">
      <c r="Q440" s="97" t="s">
        <v>5656</v>
      </c>
      <c r="R440" s="93">
        <v>17900000</v>
      </c>
      <c r="T440" s="19" t="s">
        <v>5787</v>
      </c>
      <c r="U440" s="19">
        <v>3216</v>
      </c>
      <c r="V440" s="115">
        <v>2043.648557</v>
      </c>
      <c r="W440" s="115">
        <f t="shared" si="89"/>
        <v>6572373.7593120001</v>
      </c>
      <c r="X440" s="276" t="s">
        <v>5128</v>
      </c>
      <c r="Z440" t="s">
        <v>25</v>
      </c>
      <c r="AH440" s="147">
        <v>160</v>
      </c>
      <c r="AI440" s="147" t="s">
        <v>5586</v>
      </c>
      <c r="AJ440" s="186">
        <v>150000</v>
      </c>
      <c r="AK440" s="147">
        <v>0</v>
      </c>
      <c r="AL440" s="147">
        <f t="shared" si="102"/>
        <v>252</v>
      </c>
      <c r="AM440" s="147">
        <f t="shared" si="103"/>
        <v>37800000</v>
      </c>
      <c r="AN440" s="147"/>
    </row>
    <row r="441" spans="17:45">
      <c r="Q441" s="97" t="s">
        <v>5669</v>
      </c>
      <c r="R441" s="93">
        <v>12114824.927374</v>
      </c>
      <c r="T441" s="187" t="s">
        <v>5790</v>
      </c>
      <c r="U441" s="187">
        <v>42393</v>
      </c>
      <c r="V441" s="186">
        <v>2124.4852740000001</v>
      </c>
      <c r="W441" s="186">
        <f t="shared" si="89"/>
        <v>90063304.22068201</v>
      </c>
      <c r="X441" s="275" t="s">
        <v>5791</v>
      </c>
      <c r="Y441" t="s">
        <v>25</v>
      </c>
      <c r="Z441" t="s">
        <v>25</v>
      </c>
      <c r="AH441" s="20">
        <v>161</v>
      </c>
      <c r="AI441" s="20" t="s">
        <v>5586</v>
      </c>
      <c r="AJ441" s="115">
        <v>-683050</v>
      </c>
      <c r="AK441" s="20">
        <v>7</v>
      </c>
      <c r="AL441" s="20">
        <f t="shared" si="102"/>
        <v>252</v>
      </c>
      <c r="AM441" s="20">
        <f t="shared" si="103"/>
        <v>-172128600</v>
      </c>
      <c r="AN441" s="20" t="s">
        <v>5600</v>
      </c>
    </row>
    <row r="442" spans="17:45">
      <c r="Q442" s="97" t="s">
        <v>5673</v>
      </c>
      <c r="R442" s="93">
        <v>6684147.0064600008</v>
      </c>
      <c r="T442" s="19" t="s">
        <v>5792</v>
      </c>
      <c r="U442" s="19">
        <v>1307</v>
      </c>
      <c r="V442" s="115">
        <v>2213.652313</v>
      </c>
      <c r="W442" s="115">
        <f t="shared" si="89"/>
        <v>2893243.5730909999</v>
      </c>
      <c r="X442" s="276" t="s">
        <v>5128</v>
      </c>
      <c r="AH442" s="147">
        <v>162</v>
      </c>
      <c r="AI442" s="147" t="s">
        <v>5608</v>
      </c>
      <c r="AJ442" s="186">
        <v>200000</v>
      </c>
      <c r="AK442" s="147">
        <v>7</v>
      </c>
      <c r="AL442" s="147">
        <f t="shared" si="102"/>
        <v>245</v>
      </c>
      <c r="AM442" s="147">
        <f t="shared" si="103"/>
        <v>49000000</v>
      </c>
      <c r="AN442" s="147"/>
    </row>
    <row r="443" spans="17:45">
      <c r="Q443" s="97" t="s">
        <v>5677</v>
      </c>
      <c r="R443" s="93">
        <v>1826535.2307560001</v>
      </c>
      <c r="T443" s="19" t="s">
        <v>5794</v>
      </c>
      <c r="U443" s="19">
        <v>44079</v>
      </c>
      <c r="V443" s="115">
        <v>2155.0411519999998</v>
      </c>
      <c r="W443" s="115">
        <f t="shared" si="89"/>
        <v>94992058.939007998</v>
      </c>
      <c r="X443" s="276" t="s">
        <v>5128</v>
      </c>
      <c r="AH443" s="147">
        <v>163</v>
      </c>
      <c r="AI443" s="147" t="s">
        <v>5613</v>
      </c>
      <c r="AJ443" s="186">
        <v>150000</v>
      </c>
      <c r="AK443" s="147">
        <v>5</v>
      </c>
      <c r="AL443" s="147">
        <f t="shared" si="102"/>
        <v>238</v>
      </c>
      <c r="AM443" s="147">
        <f t="shared" si="103"/>
        <v>35700000</v>
      </c>
      <c r="AN443" s="147"/>
    </row>
    <row r="444" spans="17:45">
      <c r="Q444" s="97" t="s">
        <v>5679</v>
      </c>
      <c r="R444" s="93">
        <v>3577366.94</v>
      </c>
      <c r="T444" s="19" t="s">
        <v>5801</v>
      </c>
      <c r="U444" s="19">
        <v>131</v>
      </c>
      <c r="V444" s="115">
        <v>2099.4040150000001</v>
      </c>
      <c r="W444" s="115">
        <f t="shared" si="89"/>
        <v>275021.925965</v>
      </c>
      <c r="X444" s="276" t="s">
        <v>5128</v>
      </c>
      <c r="AA444" t="s">
        <v>25</v>
      </c>
      <c r="AH444" s="20">
        <v>164</v>
      </c>
      <c r="AI444" s="20" t="s">
        <v>5617</v>
      </c>
      <c r="AJ444" s="115">
        <v>320000</v>
      </c>
      <c r="AK444" s="20">
        <v>2</v>
      </c>
      <c r="AL444" s="20">
        <f t="shared" si="102"/>
        <v>233</v>
      </c>
      <c r="AM444" s="20">
        <f t="shared" si="103"/>
        <v>74560000</v>
      </c>
      <c r="AN444" s="20"/>
      <c r="AR444" t="s">
        <v>25</v>
      </c>
    </row>
    <row r="445" spans="17:45">
      <c r="Q445" s="97" t="s">
        <v>5683</v>
      </c>
      <c r="R445" s="93">
        <v>21239029.173567999</v>
      </c>
      <c r="T445" s="19" t="s">
        <v>5809</v>
      </c>
      <c r="U445" s="19">
        <v>162</v>
      </c>
      <c r="V445" s="115">
        <v>2021.3081500000001</v>
      </c>
      <c r="W445" s="115">
        <f t="shared" si="89"/>
        <v>327451.9203</v>
      </c>
      <c r="X445" s="276" t="s">
        <v>5128</v>
      </c>
      <c r="AH445" s="20">
        <v>165</v>
      </c>
      <c r="AI445" s="20" t="s">
        <v>5618</v>
      </c>
      <c r="AJ445" s="115">
        <v>200000</v>
      </c>
      <c r="AK445" s="20">
        <v>29</v>
      </c>
      <c r="AL445" s="20">
        <f t="shared" si="102"/>
        <v>231</v>
      </c>
      <c r="AM445" s="20">
        <f t="shared" si="103"/>
        <v>46200000</v>
      </c>
      <c r="AN445" s="20"/>
    </row>
    <row r="446" spans="17:45">
      <c r="Q446" s="97" t="s">
        <v>5688</v>
      </c>
      <c r="R446" s="93">
        <v>242957252.40163299</v>
      </c>
      <c r="T446" s="19" t="s">
        <v>5822</v>
      </c>
      <c r="U446" s="19">
        <v>131</v>
      </c>
      <c r="V446" s="115">
        <v>1985.358328</v>
      </c>
      <c r="W446" s="115">
        <f t="shared" si="89"/>
        <v>260081.94096800001</v>
      </c>
      <c r="X446" s="276" t="s">
        <v>5128</v>
      </c>
      <c r="AH446" s="20">
        <v>166</v>
      </c>
      <c r="AI446" s="20" t="s">
        <v>5653</v>
      </c>
      <c r="AJ446" s="115">
        <v>4200000</v>
      </c>
      <c r="AK446" s="20">
        <v>0</v>
      </c>
      <c r="AL446" s="20">
        <f t="shared" si="102"/>
        <v>202</v>
      </c>
      <c r="AM446" s="20">
        <f t="shared" si="103"/>
        <v>848400000</v>
      </c>
      <c r="AN446" s="20"/>
      <c r="AQ446" t="s">
        <v>25</v>
      </c>
    </row>
    <row r="447" spans="17:45">
      <c r="Q447" s="97" t="s">
        <v>5689</v>
      </c>
      <c r="R447" s="93">
        <v>7357181.2750800001</v>
      </c>
      <c r="T447" s="19" t="s">
        <v>5833</v>
      </c>
      <c r="U447" s="19">
        <v>1449</v>
      </c>
      <c r="V447" s="115">
        <v>2007.787806</v>
      </c>
      <c r="W447" s="115">
        <f t="shared" si="89"/>
        <v>2909284.5308940001</v>
      </c>
      <c r="X447" s="276" t="s">
        <v>5128</v>
      </c>
      <c r="AH447" s="147">
        <v>167</v>
      </c>
      <c r="AI447" s="147" t="s">
        <v>5653</v>
      </c>
      <c r="AJ447" s="186">
        <v>3300000</v>
      </c>
      <c r="AK447" s="147">
        <v>11</v>
      </c>
      <c r="AL447" s="147">
        <f t="shared" si="102"/>
        <v>202</v>
      </c>
      <c r="AM447" s="147">
        <f t="shared" si="103"/>
        <v>666600000</v>
      </c>
      <c r="AN447" s="147"/>
    </row>
    <row r="448" spans="17:45">
      <c r="Q448" s="97" t="s">
        <v>5693</v>
      </c>
      <c r="R448" s="93">
        <v>14951411.942400001</v>
      </c>
      <c r="T448" s="19" t="s">
        <v>5834</v>
      </c>
      <c r="U448" s="19">
        <v>19028</v>
      </c>
      <c r="V448" s="115">
        <v>1982.5102529999999</v>
      </c>
      <c r="W448" s="115">
        <f t="shared" si="89"/>
        <v>37723205.094084002</v>
      </c>
      <c r="X448" s="276" t="s">
        <v>5128</v>
      </c>
      <c r="Y448" t="s">
        <v>25</v>
      </c>
      <c r="AH448" s="147">
        <v>168</v>
      </c>
      <c r="AI448" s="147" t="s">
        <v>5679</v>
      </c>
      <c r="AJ448" s="186">
        <v>-1500000</v>
      </c>
      <c r="AK448" s="147">
        <v>42</v>
      </c>
      <c r="AL448" s="147">
        <f t="shared" si="102"/>
        <v>191</v>
      </c>
      <c r="AM448" s="147">
        <f t="shared" si="103"/>
        <v>-286500000</v>
      </c>
      <c r="AN448" s="147"/>
    </row>
    <row r="449" spans="17:44">
      <c r="Q449" s="97" t="s">
        <v>5695</v>
      </c>
      <c r="R449" s="93">
        <v>47928209.377011999</v>
      </c>
      <c r="T449" s="19" t="s">
        <v>5835</v>
      </c>
      <c r="U449" s="19">
        <v>848</v>
      </c>
      <c r="V449" s="115">
        <v>1768.97966</v>
      </c>
      <c r="W449" s="115">
        <f t="shared" si="89"/>
        <v>1500094.75168</v>
      </c>
      <c r="X449" s="276" t="s">
        <v>5128</v>
      </c>
      <c r="Y449" t="s">
        <v>25</v>
      </c>
      <c r="AH449" s="20">
        <v>169</v>
      </c>
      <c r="AI449" s="20" t="s">
        <v>5727</v>
      </c>
      <c r="AJ449" s="115">
        <v>260000</v>
      </c>
      <c r="AK449" s="20">
        <v>22</v>
      </c>
      <c r="AL449" s="20">
        <f t="shared" si="102"/>
        <v>149</v>
      </c>
      <c r="AM449" s="20">
        <f t="shared" si="103"/>
        <v>38740000</v>
      </c>
      <c r="AN449" s="20"/>
      <c r="AR449" t="s">
        <v>25</v>
      </c>
    </row>
    <row r="450" spans="17:44">
      <c r="Q450" s="97" t="s">
        <v>5697</v>
      </c>
      <c r="R450" s="93">
        <v>2281595.69937</v>
      </c>
      <c r="T450" s="19" t="s">
        <v>5836</v>
      </c>
      <c r="U450" s="19">
        <v>3824</v>
      </c>
      <c r="V450" s="115">
        <v>1890.8547169999999</v>
      </c>
      <c r="W450" s="115">
        <f t="shared" si="89"/>
        <v>7230628.4378079996</v>
      </c>
      <c r="X450" s="276" t="s">
        <v>5128</v>
      </c>
      <c r="AA450" t="s">
        <v>25</v>
      </c>
      <c r="AH450" s="20">
        <v>170</v>
      </c>
      <c r="AI450" s="20" t="s">
        <v>5760</v>
      </c>
      <c r="AJ450" s="115">
        <v>20000</v>
      </c>
      <c r="AK450" s="20">
        <v>0</v>
      </c>
      <c r="AL450" s="20">
        <f t="shared" si="102"/>
        <v>127</v>
      </c>
      <c r="AM450" s="20">
        <f t="shared" si="103"/>
        <v>2540000</v>
      </c>
      <c r="AN450" s="20"/>
    </row>
    <row r="451" spans="17:44">
      <c r="Q451" s="97" t="s">
        <v>5698</v>
      </c>
      <c r="R451" s="93">
        <v>2964916.035069</v>
      </c>
      <c r="T451" s="19" t="s">
        <v>5838</v>
      </c>
      <c r="U451" s="19">
        <v>14010</v>
      </c>
      <c r="V451" s="115">
        <v>2124.7244390000001</v>
      </c>
      <c r="W451" s="115">
        <f t="shared" si="89"/>
        <v>29767389.390390001</v>
      </c>
      <c r="X451" s="276" t="s">
        <v>5128</v>
      </c>
      <c r="Y451" t="s">
        <v>25</v>
      </c>
      <c r="AF451" s="94" t="s">
        <v>25</v>
      </c>
      <c r="AH451" s="193">
        <v>171</v>
      </c>
      <c r="AI451" s="193" t="s">
        <v>5760</v>
      </c>
      <c r="AJ451" s="194">
        <v>20000</v>
      </c>
      <c r="AK451" s="193">
        <v>7</v>
      </c>
      <c r="AL451" s="147">
        <f t="shared" ref="AL451:AL468" si="104">AK451+AL452</f>
        <v>127</v>
      </c>
      <c r="AM451" s="147">
        <f t="shared" ref="AM451:AM468" si="105">AJ451*AL451</f>
        <v>2540000</v>
      </c>
      <c r="AN451" s="193"/>
    </row>
    <row r="452" spans="17:44">
      <c r="Q452" s="97" t="s">
        <v>5700</v>
      </c>
      <c r="R452" s="93">
        <v>6460549.4269619994</v>
      </c>
      <c r="T452" s="19" t="s">
        <v>5839</v>
      </c>
      <c r="U452" s="19">
        <v>73</v>
      </c>
      <c r="V452" s="115">
        <v>2076.1678900000002</v>
      </c>
      <c r="W452" s="115">
        <f t="shared" si="89"/>
        <v>151560.25597</v>
      </c>
      <c r="X452" s="276" t="s">
        <v>5128</v>
      </c>
      <c r="Y452" t="s">
        <v>25</v>
      </c>
      <c r="AH452" s="147">
        <v>172</v>
      </c>
      <c r="AI452" s="147" t="s">
        <v>5770</v>
      </c>
      <c r="AJ452" s="186">
        <v>70000</v>
      </c>
      <c r="AK452" s="147">
        <v>0</v>
      </c>
      <c r="AL452" s="147">
        <f t="shared" si="104"/>
        <v>120</v>
      </c>
      <c r="AM452" s="147">
        <f t="shared" si="105"/>
        <v>8400000</v>
      </c>
      <c r="AN452" s="147"/>
    </row>
    <row r="453" spans="17:44">
      <c r="Q453" s="97" t="s">
        <v>5703</v>
      </c>
      <c r="R453" s="93">
        <v>5212319.8968359996</v>
      </c>
      <c r="T453" s="19" t="s">
        <v>5841</v>
      </c>
      <c r="U453" s="19">
        <v>236</v>
      </c>
      <c r="V453" s="115">
        <v>2039.4867830000001</v>
      </c>
      <c r="W453" s="115">
        <f t="shared" si="89"/>
        <v>481318.88078800001</v>
      </c>
      <c r="X453" s="276" t="s">
        <v>5128</v>
      </c>
      <c r="Y453" t="s">
        <v>25</v>
      </c>
      <c r="AH453" s="20">
        <v>173</v>
      </c>
      <c r="AI453" s="20" t="s">
        <v>5770</v>
      </c>
      <c r="AJ453" s="115">
        <v>70000</v>
      </c>
      <c r="AK453" s="20">
        <v>1</v>
      </c>
      <c r="AL453" s="20">
        <f t="shared" si="104"/>
        <v>120</v>
      </c>
      <c r="AM453" s="20">
        <f t="shared" si="105"/>
        <v>8400000</v>
      </c>
      <c r="AN453" s="20"/>
    </row>
    <row r="454" spans="17:44">
      <c r="Q454" s="97" t="s">
        <v>5705</v>
      </c>
      <c r="R454" s="93">
        <v>4524496.4792809999</v>
      </c>
      <c r="T454" s="19" t="s">
        <v>5845</v>
      </c>
      <c r="U454" s="19">
        <v>75</v>
      </c>
      <c r="V454" s="115">
        <v>1950.3675760000001</v>
      </c>
      <c r="W454" s="115">
        <f t="shared" si="89"/>
        <v>146277.56820000001</v>
      </c>
      <c r="X454" s="276" t="s">
        <v>5128</v>
      </c>
      <c r="AH454" s="20">
        <v>174</v>
      </c>
      <c r="AI454" s="20" t="s">
        <v>5777</v>
      </c>
      <c r="AJ454" s="115">
        <v>330000</v>
      </c>
      <c r="AK454" s="20">
        <v>0</v>
      </c>
      <c r="AL454" s="20">
        <f t="shared" si="104"/>
        <v>119</v>
      </c>
      <c r="AM454" s="20">
        <f t="shared" si="105"/>
        <v>39270000</v>
      </c>
      <c r="AN454" s="20"/>
    </row>
    <row r="455" spans="17:44">
      <c r="Q455" s="97" t="s">
        <v>5707</v>
      </c>
      <c r="R455" s="93">
        <v>22866040.240959998</v>
      </c>
      <c r="T455" s="19" t="s">
        <v>5860</v>
      </c>
      <c r="U455" s="19">
        <v>232</v>
      </c>
      <c r="V455" s="115">
        <v>1830.5750069999999</v>
      </c>
      <c r="W455" s="115">
        <f t="shared" si="89"/>
        <v>424693.40162399999</v>
      </c>
      <c r="X455" s="276" t="s">
        <v>5128</v>
      </c>
      <c r="Z455" t="s">
        <v>25</v>
      </c>
      <c r="AH455" s="147">
        <v>175</v>
      </c>
      <c r="AI455" s="147" t="s">
        <v>5777</v>
      </c>
      <c r="AJ455" s="186">
        <v>330000</v>
      </c>
      <c r="AK455" s="147">
        <v>10</v>
      </c>
      <c r="AL455" s="147">
        <f t="shared" ref="AL455:AL467" si="106">AK455+AL456</f>
        <v>119</v>
      </c>
      <c r="AM455" s="147">
        <f t="shared" ref="AM455:AM467" si="107">AJ455*AL455</f>
        <v>39270000</v>
      </c>
      <c r="AN455" s="147"/>
    </row>
    <row r="456" spans="17:44">
      <c r="Q456" s="97" t="s">
        <v>5709</v>
      </c>
      <c r="R456" s="93">
        <v>15359304.269892</v>
      </c>
      <c r="T456" s="19" t="s">
        <v>5863</v>
      </c>
      <c r="U456" s="19">
        <v>308</v>
      </c>
      <c r="V456" s="115">
        <v>1812.728578</v>
      </c>
      <c r="W456" s="115">
        <f t="shared" si="89"/>
        <v>558320.40202399995</v>
      </c>
      <c r="X456" s="276" t="s">
        <v>5128</v>
      </c>
      <c r="Z456" t="s">
        <v>25</v>
      </c>
      <c r="AH456" s="147">
        <v>176</v>
      </c>
      <c r="AI456" s="147" t="s">
        <v>5790</v>
      </c>
      <c r="AJ456" s="186">
        <v>90000000</v>
      </c>
      <c r="AK456" s="147">
        <v>16</v>
      </c>
      <c r="AL456" s="147">
        <f t="shared" si="106"/>
        <v>109</v>
      </c>
      <c r="AM456" s="147">
        <f t="shared" si="107"/>
        <v>9810000000</v>
      </c>
      <c r="AN456" s="147"/>
    </row>
    <row r="457" spans="17:44">
      <c r="Q457" s="97" t="s">
        <v>5710</v>
      </c>
      <c r="R457" s="93">
        <v>2868508.1846330003</v>
      </c>
      <c r="T457" s="19" t="s">
        <v>5865</v>
      </c>
      <c r="U457" s="19">
        <v>106</v>
      </c>
      <c r="V457" s="115">
        <v>1958.8888869</v>
      </c>
      <c r="W457" s="115">
        <f t="shared" si="89"/>
        <v>207642.22201140001</v>
      </c>
      <c r="X457" s="276" t="s">
        <v>5128</v>
      </c>
      <c r="Z457" t="s">
        <v>25</v>
      </c>
      <c r="AH457" s="147">
        <v>177</v>
      </c>
      <c r="AI457" s="147" t="s">
        <v>5820</v>
      </c>
      <c r="AJ457" s="186">
        <v>-15000000</v>
      </c>
      <c r="AK457" s="147">
        <v>65</v>
      </c>
      <c r="AL457" s="147">
        <f t="shared" si="106"/>
        <v>93</v>
      </c>
      <c r="AM457" s="147">
        <f t="shared" si="107"/>
        <v>-1395000000</v>
      </c>
      <c r="AN457" s="147" t="s">
        <v>5821</v>
      </c>
    </row>
    <row r="458" spans="17:44">
      <c r="Q458" s="97" t="s">
        <v>5711</v>
      </c>
      <c r="R458" s="93">
        <v>17450393.011856001</v>
      </c>
      <c r="T458" s="19" t="s">
        <v>5891</v>
      </c>
      <c r="U458" s="19">
        <v>17050</v>
      </c>
      <c r="V458" s="115">
        <v>1984.311475</v>
      </c>
      <c r="W458" s="115">
        <f t="shared" si="89"/>
        <v>33832510.64875</v>
      </c>
      <c r="X458" s="276" t="s">
        <v>5894</v>
      </c>
      <c r="Z458" t="s">
        <v>25</v>
      </c>
      <c r="AH458" s="147">
        <v>178</v>
      </c>
      <c r="AI458" s="147" t="s">
        <v>5891</v>
      </c>
      <c r="AJ458" s="186">
        <v>33833075</v>
      </c>
      <c r="AK458" s="147">
        <v>0</v>
      </c>
      <c r="AL458" s="147">
        <f t="shared" si="106"/>
        <v>28</v>
      </c>
      <c r="AM458" s="147">
        <f t="shared" si="107"/>
        <v>947326100</v>
      </c>
      <c r="AN458" s="147" t="s">
        <v>5896</v>
      </c>
    </row>
    <row r="459" spans="17:44">
      <c r="Q459" s="97" t="s">
        <v>5712</v>
      </c>
      <c r="R459" s="93">
        <v>31388943.254850004</v>
      </c>
      <c r="T459" s="19" t="s">
        <v>5891</v>
      </c>
      <c r="U459" s="19">
        <v>17050</v>
      </c>
      <c r="V459" s="115">
        <v>1984.311475</v>
      </c>
      <c r="W459" s="115">
        <f t="shared" si="89"/>
        <v>33832510.64875</v>
      </c>
      <c r="X459" s="276" t="s">
        <v>5895</v>
      </c>
      <c r="Z459" t="s">
        <v>25</v>
      </c>
      <c r="AH459" s="20">
        <v>197</v>
      </c>
      <c r="AI459" s="20" t="s">
        <v>5891</v>
      </c>
      <c r="AJ459" s="115">
        <v>20033075</v>
      </c>
      <c r="AK459" s="20">
        <v>28</v>
      </c>
      <c r="AL459" s="20">
        <f t="shared" si="106"/>
        <v>28</v>
      </c>
      <c r="AM459" s="20">
        <f t="shared" si="107"/>
        <v>560926100</v>
      </c>
      <c r="AN459" s="20" t="s">
        <v>5896</v>
      </c>
    </row>
    <row r="460" spans="17:44">
      <c r="Q460" s="97" t="s">
        <v>5714</v>
      </c>
      <c r="R460" s="93">
        <v>30912095.373174001</v>
      </c>
      <c r="T460" s="19" t="s">
        <v>5897</v>
      </c>
      <c r="U460" s="19">
        <v>9659</v>
      </c>
      <c r="V460" s="115">
        <v>2073.8685089999999</v>
      </c>
      <c r="W460" s="115">
        <f t="shared" si="89"/>
        <v>20031495.928431001</v>
      </c>
      <c r="X460" s="276" t="s">
        <v>5898</v>
      </c>
      <c r="Z460" t="s">
        <v>25</v>
      </c>
      <c r="AH460" s="147">
        <v>198</v>
      </c>
      <c r="AI460" s="147" t="s">
        <v>5943</v>
      </c>
      <c r="AJ460" s="186">
        <v>-22520813.151772</v>
      </c>
      <c r="AK460" s="147">
        <v>0</v>
      </c>
      <c r="AL460" s="147">
        <f>AK460+AL467</f>
        <v>0</v>
      </c>
      <c r="AM460" s="147">
        <f t="shared" si="107"/>
        <v>0</v>
      </c>
      <c r="AN460" s="147" t="s">
        <v>5958</v>
      </c>
    </row>
    <row r="461" spans="17:44">
      <c r="Q461" s="97" t="s">
        <v>5718</v>
      </c>
      <c r="R461" s="93">
        <v>19602926.115093999</v>
      </c>
      <c r="T461" s="19" t="s">
        <v>5908</v>
      </c>
      <c r="U461" s="19">
        <v>323</v>
      </c>
      <c r="V461" s="115">
        <v>1975.162028</v>
      </c>
      <c r="W461" s="115">
        <f t="shared" si="89"/>
        <v>637977.33504399995</v>
      </c>
      <c r="X461" s="276" t="s">
        <v>5128</v>
      </c>
      <c r="AH461" s="20">
        <v>199</v>
      </c>
      <c r="AI461" s="20" t="s">
        <v>5943</v>
      </c>
      <c r="AJ461" s="115">
        <v>-204353015</v>
      </c>
      <c r="AK461" s="20">
        <v>0</v>
      </c>
      <c r="AL461" s="20"/>
      <c r="AM461" s="20"/>
      <c r="AN461" s="20" t="s">
        <v>5959</v>
      </c>
    </row>
    <row r="462" spans="17:44">
      <c r="Q462" s="97" t="s">
        <v>5721</v>
      </c>
      <c r="R462" s="93">
        <v>34458590.308710001</v>
      </c>
      <c r="T462" s="19" t="s">
        <v>5909</v>
      </c>
      <c r="U462" s="19">
        <v>238</v>
      </c>
      <c r="V462" s="115">
        <v>1960.303598</v>
      </c>
      <c r="W462" s="115">
        <f t="shared" si="89"/>
        <v>466552.25632400002</v>
      </c>
      <c r="X462" s="276" t="s">
        <v>5128</v>
      </c>
      <c r="Z462" t="s">
        <v>25</v>
      </c>
      <c r="AA462" t="s">
        <v>25</v>
      </c>
      <c r="AH462" s="20">
        <v>200</v>
      </c>
      <c r="AI462" s="20" t="s">
        <v>5943</v>
      </c>
      <c r="AJ462" s="115">
        <v>50000000</v>
      </c>
      <c r="AK462" s="20">
        <v>1</v>
      </c>
      <c r="AL462" s="20"/>
      <c r="AM462" s="20"/>
      <c r="AN462" s="20" t="s">
        <v>5960</v>
      </c>
    </row>
    <row r="463" spans="17:44">
      <c r="Q463" s="97" t="s">
        <v>5723</v>
      </c>
      <c r="R463" s="93">
        <v>21697868.203256</v>
      </c>
      <c r="T463" s="19" t="s">
        <v>5911</v>
      </c>
      <c r="U463" s="19">
        <v>75</v>
      </c>
      <c r="V463" s="115">
        <v>1990.893174</v>
      </c>
      <c r="W463" s="115">
        <f t="shared" si="89"/>
        <v>149316.98805000001</v>
      </c>
      <c r="X463" s="276" t="s">
        <v>5912</v>
      </c>
      <c r="AH463" s="20">
        <v>201</v>
      </c>
      <c r="AI463" s="20" t="s">
        <v>5966</v>
      </c>
      <c r="AJ463" s="115">
        <v>50000000</v>
      </c>
      <c r="AK463" s="20">
        <v>1</v>
      </c>
      <c r="AL463" s="20"/>
      <c r="AM463" s="20"/>
      <c r="AN463" s="20" t="s">
        <v>5960</v>
      </c>
    </row>
    <row r="464" spans="17:44">
      <c r="Q464" s="97" t="s">
        <v>5724</v>
      </c>
      <c r="R464" s="93">
        <v>25340079.252110001</v>
      </c>
      <c r="T464" s="19" t="s">
        <v>5911</v>
      </c>
      <c r="U464" s="19">
        <v>95</v>
      </c>
      <c r="V464" s="115">
        <v>1990.893174</v>
      </c>
      <c r="W464" s="115">
        <f t="shared" si="89"/>
        <v>189134.85153000001</v>
      </c>
      <c r="X464" s="276" t="s">
        <v>5128</v>
      </c>
      <c r="Z464" t="s">
        <v>25</v>
      </c>
      <c r="AH464" s="20"/>
      <c r="AI464" s="20"/>
      <c r="AJ464" s="115"/>
      <c r="AK464" s="20"/>
      <c r="AL464" s="20"/>
      <c r="AM464" s="20"/>
      <c r="AN464" s="20"/>
      <c r="AR464" t="s">
        <v>25</v>
      </c>
    </row>
    <row r="465" spans="17:40">
      <c r="Q465" s="97" t="s">
        <v>5727</v>
      </c>
      <c r="R465" s="93">
        <v>14780983.183526</v>
      </c>
      <c r="T465" s="19" t="s">
        <v>5918</v>
      </c>
      <c r="U465" s="19">
        <v>284</v>
      </c>
      <c r="V465" s="115">
        <v>1989.045169</v>
      </c>
      <c r="W465" s="115">
        <f t="shared" si="89"/>
        <v>564888.82799599995</v>
      </c>
      <c r="X465" s="276" t="s">
        <v>5128</v>
      </c>
      <c r="Y465" t="s">
        <v>25</v>
      </c>
      <c r="Z465" t="s">
        <v>25</v>
      </c>
      <c r="AA465" t="s">
        <v>25</v>
      </c>
      <c r="AH465" s="20"/>
      <c r="AI465" s="20"/>
      <c r="AJ465" s="115"/>
      <c r="AK465" s="20"/>
      <c r="AL465" s="20"/>
      <c r="AM465" s="20"/>
      <c r="AN465" s="20"/>
    </row>
    <row r="466" spans="17:40" ht="30">
      <c r="Q466" s="97" t="s">
        <v>5727</v>
      </c>
      <c r="R466" s="93">
        <v>17804396.448481999</v>
      </c>
      <c r="T466" s="187" t="s">
        <v>5943</v>
      </c>
      <c r="U466" s="187">
        <v>11034</v>
      </c>
      <c r="V466" s="186">
        <v>1960.6845390000001</v>
      </c>
      <c r="W466" s="186">
        <f t="shared" si="89"/>
        <v>21634193.203326002</v>
      </c>
      <c r="X466" s="275" t="s">
        <v>5954</v>
      </c>
      <c r="AH466" s="20"/>
      <c r="AI466" s="20"/>
      <c r="AJ466" s="115"/>
      <c r="AK466" s="20"/>
      <c r="AL466" s="20"/>
      <c r="AM466" s="20"/>
      <c r="AN466" s="20"/>
    </row>
    <row r="467" spans="17:40" ht="30">
      <c r="Q467" s="97" t="s">
        <v>5731</v>
      </c>
      <c r="R467" s="93">
        <v>260260000</v>
      </c>
      <c r="T467" s="19" t="s">
        <v>5943</v>
      </c>
      <c r="U467" s="19">
        <v>4469</v>
      </c>
      <c r="V467" s="115">
        <v>1960.6845390000001</v>
      </c>
      <c r="W467" s="115">
        <f t="shared" si="89"/>
        <v>8762299.2047910001</v>
      </c>
      <c r="X467" s="276" t="s">
        <v>5955</v>
      </c>
      <c r="AA467" t="s">
        <v>25</v>
      </c>
      <c r="AH467" s="97"/>
      <c r="AI467" s="97"/>
      <c r="AJ467" s="115"/>
      <c r="AK467" s="97"/>
      <c r="AL467" s="20">
        <f t="shared" si="106"/>
        <v>0</v>
      </c>
      <c r="AM467" s="20">
        <f t="shared" si="107"/>
        <v>0</v>
      </c>
      <c r="AN467" s="20"/>
    </row>
    <row r="468" spans="17:40">
      <c r="Q468" s="97" t="s">
        <v>5732</v>
      </c>
      <c r="R468" s="93">
        <v>11538335.631417999</v>
      </c>
      <c r="T468" s="19" t="s">
        <v>5943</v>
      </c>
      <c r="U468" s="19">
        <v>-174834</v>
      </c>
      <c r="V468" s="115">
        <v>1955.271154</v>
      </c>
      <c r="W468" s="115">
        <f t="shared" si="89"/>
        <v>-341847876.93843603</v>
      </c>
      <c r="X468" s="276" t="s">
        <v>5956</v>
      </c>
      <c r="Z468" t="s">
        <v>25</v>
      </c>
      <c r="AH468" s="97"/>
      <c r="AI468" s="97"/>
      <c r="AJ468" s="115"/>
      <c r="AK468" s="97"/>
      <c r="AL468" s="20">
        <f t="shared" si="104"/>
        <v>0</v>
      </c>
      <c r="AM468" s="20">
        <f t="shared" si="105"/>
        <v>0</v>
      </c>
      <c r="AN468" s="97"/>
    </row>
    <row r="469" spans="17:40">
      <c r="Q469" s="97" t="s">
        <v>5743</v>
      </c>
      <c r="R469" s="93">
        <v>12429517.767776001</v>
      </c>
      <c r="T469" s="19" t="s">
        <v>5943</v>
      </c>
      <c r="U469" s="19">
        <v>-78942</v>
      </c>
      <c r="V469" s="115">
        <v>1955.271154</v>
      </c>
      <c r="W469" s="115">
        <f t="shared" si="89"/>
        <v>-154353015.43906799</v>
      </c>
      <c r="X469" s="276" t="s">
        <v>5957</v>
      </c>
      <c r="AH469" s="97"/>
      <c r="AI469" s="97"/>
      <c r="AJ469" s="93">
        <f>SUM(AJ281:AJ468)</f>
        <v>169792676.84822798</v>
      </c>
      <c r="AK469" s="97"/>
      <c r="AL469" s="97"/>
      <c r="AM469" s="97">
        <f>SUM(AM281:AM468)</f>
        <v>229679685584</v>
      </c>
      <c r="AN469" s="93">
        <f>AM469*AN267/31</f>
        <v>123486171.60092026</v>
      </c>
    </row>
    <row r="470" spans="17:40">
      <c r="Q470" s="97" t="s">
        <v>5745</v>
      </c>
      <c r="R470" s="93">
        <v>5031176.5087869996</v>
      </c>
      <c r="T470" s="187" t="s">
        <v>5943</v>
      </c>
      <c r="U470" s="187">
        <v>-11518</v>
      </c>
      <c r="V470" s="186">
        <v>1955.271154</v>
      </c>
      <c r="W470" s="186">
        <f t="shared" si="89"/>
        <v>-22520813.151772</v>
      </c>
      <c r="X470" s="275" t="s">
        <v>5958</v>
      </c>
      <c r="Y470" t="s">
        <v>25</v>
      </c>
      <c r="AJ470" t="s">
        <v>4043</v>
      </c>
      <c r="AM470" t="s">
        <v>284</v>
      </c>
      <c r="AN470" t="s">
        <v>928</v>
      </c>
    </row>
    <row r="471" spans="17:40">
      <c r="Q471" s="97" t="s">
        <v>5749</v>
      </c>
      <c r="R471" s="93">
        <v>6822803.9080700008</v>
      </c>
      <c r="T471" s="19" t="s">
        <v>5971</v>
      </c>
      <c r="U471" s="19">
        <v>8622</v>
      </c>
      <c r="V471" s="115">
        <v>1930.4022150000001</v>
      </c>
      <c r="W471" s="115">
        <f t="shared" si="89"/>
        <v>16643927.89773</v>
      </c>
      <c r="X471" s="276" t="s">
        <v>744</v>
      </c>
      <c r="Y471" t="s">
        <v>25</v>
      </c>
    </row>
    <row r="472" spans="17:40">
      <c r="Q472" s="97" t="s">
        <v>5759</v>
      </c>
      <c r="R472" s="93">
        <v>330889.73324399994</v>
      </c>
      <c r="T472" s="19" t="s">
        <v>5972</v>
      </c>
      <c r="U472" s="19">
        <v>17384</v>
      </c>
      <c r="V472" s="115">
        <v>1918.745255</v>
      </c>
      <c r="W472" s="115">
        <f t="shared" si="89"/>
        <v>33355467.51292</v>
      </c>
      <c r="X472" s="276" t="s">
        <v>744</v>
      </c>
      <c r="AI472" t="s">
        <v>4045</v>
      </c>
      <c r="AJ472" s="112">
        <f>AJ469+AN469</f>
        <v>293278848.44914824</v>
      </c>
      <c r="AM472" t="s">
        <v>25</v>
      </c>
    </row>
    <row r="473" spans="17:40">
      <c r="Q473" s="97" t="s">
        <v>5760</v>
      </c>
      <c r="R473" s="93">
        <v>6610318.1610199995</v>
      </c>
      <c r="T473" s="19"/>
      <c r="U473" s="19"/>
      <c r="V473" s="115"/>
      <c r="W473" s="115">
        <f t="shared" si="89"/>
        <v>0</v>
      </c>
      <c r="X473" s="276"/>
      <c r="Z473" t="s">
        <v>25</v>
      </c>
      <c r="AA473" t="s">
        <v>25</v>
      </c>
      <c r="AI473" t="s">
        <v>4048</v>
      </c>
      <c r="AJ473" s="112">
        <f>SUM(N20:N29)</f>
        <v>3173763343</v>
      </c>
    </row>
    <row r="474" spans="17:40">
      <c r="Q474" s="97" t="s">
        <v>5762</v>
      </c>
      <c r="R474" s="93">
        <v>710713.17725199996</v>
      </c>
      <c r="T474" s="19"/>
      <c r="U474" s="19"/>
      <c r="V474" s="115"/>
      <c r="W474" s="115">
        <f t="shared" si="89"/>
        <v>0</v>
      </c>
      <c r="X474" s="276"/>
      <c r="AI474" t="s">
        <v>4118</v>
      </c>
      <c r="AJ474" s="112">
        <f>AJ473-AJ469</f>
        <v>3003970666.151772</v>
      </c>
    </row>
    <row r="475" spans="17:40">
      <c r="Q475" s="97" t="s">
        <v>5765</v>
      </c>
      <c r="R475" s="93">
        <v>81025</v>
      </c>
      <c r="T475" s="97"/>
      <c r="U475" s="166"/>
      <c r="V475" s="111"/>
      <c r="W475" s="115">
        <f t="shared" si="89"/>
        <v>0</v>
      </c>
      <c r="X475" s="97"/>
      <c r="Z475" t="s">
        <v>25</v>
      </c>
      <c r="AA475" t="s">
        <v>25</v>
      </c>
      <c r="AI475" t="s">
        <v>928</v>
      </c>
      <c r="AJ475" s="112">
        <f>AN469</f>
        <v>123486171.60092026</v>
      </c>
    </row>
    <row r="476" spans="17:40">
      <c r="Q476" s="97" t="s">
        <v>5766</v>
      </c>
      <c r="R476" s="93">
        <v>219696.613128</v>
      </c>
      <c r="T476" s="166"/>
      <c r="U476" s="166">
        <f>SUM(U165:U475)</f>
        <v>4254028</v>
      </c>
      <c r="V476" s="97"/>
      <c r="W476" s="97"/>
      <c r="X476" s="97"/>
      <c r="AI476" t="s">
        <v>4049</v>
      </c>
      <c r="AJ476" s="112">
        <f>AJ474-AJ475</f>
        <v>2880484494.5508518</v>
      </c>
      <c r="AM476" t="s">
        <v>25</v>
      </c>
      <c r="AN476" t="s">
        <v>25</v>
      </c>
    </row>
    <row r="477" spans="17:40">
      <c r="Q477" s="97" t="s">
        <v>5768</v>
      </c>
      <c r="R477" s="93">
        <v>6035472.4070199998</v>
      </c>
      <c r="T477" s="97"/>
      <c r="U477" s="97" t="s">
        <v>6</v>
      </c>
      <c r="V477" s="97"/>
      <c r="W477" s="97"/>
      <c r="X477" s="97"/>
      <c r="AL477" t="s">
        <v>25</v>
      </c>
      <c r="AM477" t="s">
        <v>25</v>
      </c>
      <c r="AN477" t="s">
        <v>25</v>
      </c>
    </row>
    <row r="478" spans="17:40">
      <c r="Q478" s="97" t="s">
        <v>5770</v>
      </c>
      <c r="R478" s="93">
        <v>984486.34963200008</v>
      </c>
      <c r="T478" s="198" t="s">
        <v>4438</v>
      </c>
      <c r="Y478" t="s">
        <v>25</v>
      </c>
    </row>
    <row r="479" spans="17:40">
      <c r="Q479" s="97" t="s">
        <v>5783</v>
      </c>
      <c r="R479" s="93">
        <v>2143469.938015</v>
      </c>
      <c r="T479" s="197">
        <f>R182/U476</f>
        <v>1910.9045483480597</v>
      </c>
      <c r="X479" t="s">
        <v>25</v>
      </c>
    </row>
    <row r="480" spans="17:40">
      <c r="Q480" s="97" t="s">
        <v>5785</v>
      </c>
      <c r="R480" s="93">
        <v>3085460.5177150001</v>
      </c>
      <c r="W480" s="112"/>
      <c r="X480" t="s">
        <v>25</v>
      </c>
      <c r="AN480" t="s">
        <v>25</v>
      </c>
    </row>
    <row r="481" spans="17:40">
      <c r="Q481" s="97" t="s">
        <v>5787</v>
      </c>
      <c r="R481" s="93">
        <v>8261456.790906</v>
      </c>
      <c r="U481" s="94" t="s">
        <v>267</v>
      </c>
      <c r="V481" t="s">
        <v>4439</v>
      </c>
      <c r="X481" t="s">
        <v>25</v>
      </c>
      <c r="Y481" t="s">
        <v>25</v>
      </c>
      <c r="AN481" t="s">
        <v>25</v>
      </c>
    </row>
    <row r="482" spans="17:40">
      <c r="Q482" s="97" t="s">
        <v>5792</v>
      </c>
      <c r="R482" s="93">
        <v>6572373.7593120001</v>
      </c>
      <c r="T482" s="112"/>
      <c r="U482" s="93">
        <v>-33136440</v>
      </c>
      <c r="V482">
        <f>U482/T479</f>
        <v>-17340.709157161102</v>
      </c>
      <c r="X482" t="s">
        <v>25</v>
      </c>
      <c r="AA482" t="s">
        <v>25</v>
      </c>
    </row>
    <row r="483" spans="17:40">
      <c r="Q483" s="97" t="s">
        <v>5794</v>
      </c>
      <c r="R483" s="93">
        <v>2893243.5730909999</v>
      </c>
      <c r="T483" t="s">
        <v>25</v>
      </c>
      <c r="X483" t="s">
        <v>25</v>
      </c>
      <c r="Y483" t="s">
        <v>25</v>
      </c>
      <c r="Z483" t="s">
        <v>25</v>
      </c>
    </row>
    <row r="484" spans="17:40">
      <c r="Q484" s="97" t="s">
        <v>5801</v>
      </c>
      <c r="R484" s="93">
        <v>94992058.939007998</v>
      </c>
      <c r="T484" t="s">
        <v>25</v>
      </c>
      <c r="U484" s="94" t="s">
        <v>25</v>
      </c>
      <c r="V484" s="22"/>
      <c r="W484" s="219"/>
      <c r="X484" s="286" t="s">
        <v>25</v>
      </c>
    </row>
    <row r="485" spans="17:40">
      <c r="Q485" s="97" t="s">
        <v>5809</v>
      </c>
      <c r="R485" s="93">
        <v>275021.925965</v>
      </c>
      <c r="V485" t="s">
        <v>25</v>
      </c>
      <c r="X485" t="s">
        <v>25</v>
      </c>
    </row>
    <row r="486" spans="17:40">
      <c r="Q486" s="97" t="s">
        <v>5822</v>
      </c>
      <c r="R486" s="93">
        <v>327451.9203</v>
      </c>
      <c r="W486" s="112"/>
      <c r="X486" t="s">
        <v>25</v>
      </c>
    </row>
    <row r="487" spans="17:40" ht="60">
      <c r="Q487" s="97" t="s">
        <v>5833</v>
      </c>
      <c r="R487" s="93">
        <v>260081.94096800001</v>
      </c>
      <c r="T487" s="22" t="s">
        <v>4424</v>
      </c>
      <c r="V487" s="219"/>
    </row>
    <row r="488" spans="17:40" ht="45">
      <c r="Q488" s="97" t="s">
        <v>5834</v>
      </c>
      <c r="R488" s="93">
        <v>2909284.5308940001</v>
      </c>
      <c r="T488" s="22" t="s">
        <v>4425</v>
      </c>
      <c r="W488" s="286"/>
    </row>
    <row r="489" spans="17:40">
      <c r="Q489" s="97" t="s">
        <v>5835</v>
      </c>
      <c r="R489" s="93">
        <v>37723205.094084002</v>
      </c>
    </row>
    <row r="490" spans="17:40">
      <c r="Q490" s="97" t="s">
        <v>5836</v>
      </c>
      <c r="R490" s="93">
        <v>1500094.75168</v>
      </c>
    </row>
    <row r="491" spans="17:40">
      <c r="Q491" s="97" t="s">
        <v>5838</v>
      </c>
      <c r="R491" s="93">
        <v>7230628.4378079996</v>
      </c>
      <c r="T491" s="97" t="s">
        <v>4440</v>
      </c>
      <c r="U491" s="97" t="s">
        <v>4419</v>
      </c>
      <c r="V491" s="97" t="s">
        <v>938</v>
      </c>
      <c r="W491" s="72" t="s">
        <v>5580</v>
      </c>
    </row>
    <row r="492" spans="17:40">
      <c r="Q492" s="97" t="s">
        <v>5839</v>
      </c>
      <c r="R492" s="93">
        <v>29767389.390390001</v>
      </c>
      <c r="T492" s="93">
        <f>S235+R299+R510</f>
        <v>2876496053.9561353</v>
      </c>
      <c r="U492" s="93">
        <f>R182</f>
        <v>8129041454</v>
      </c>
      <c r="V492" s="93">
        <f>U492-T492</f>
        <v>5252545400.0438652</v>
      </c>
    </row>
    <row r="493" spans="17:40">
      <c r="Q493" s="97" t="s">
        <v>5841</v>
      </c>
      <c r="R493" s="93">
        <v>151560.25597</v>
      </c>
      <c r="W493" s="94" t="s">
        <v>25</v>
      </c>
    </row>
    <row r="494" spans="17:40">
      <c r="Q494" s="97" t="s">
        <v>5845</v>
      </c>
      <c r="R494" s="93">
        <v>481318.88078800001</v>
      </c>
    </row>
    <row r="495" spans="17:40">
      <c r="Q495" s="97" t="s">
        <v>5860</v>
      </c>
      <c r="R495" s="93">
        <v>146277.56820000001</v>
      </c>
      <c r="T495" s="115"/>
      <c r="V495" s="112">
        <f>(444000000+2500000)*2/3</f>
        <v>297666666.66666669</v>
      </c>
    </row>
    <row r="496" spans="17:40">
      <c r="Q496" s="97" t="s">
        <v>5863</v>
      </c>
      <c r="R496" s="93">
        <v>424693.40162399999</v>
      </c>
    </row>
    <row r="497" spans="17:24">
      <c r="Q497" s="97" t="s">
        <v>5865</v>
      </c>
      <c r="R497" s="93">
        <v>558320.40202399995</v>
      </c>
      <c r="T497" s="112">
        <f>W311+W312+W314+W315+W317+W318</f>
        <v>-301699041.74755996</v>
      </c>
    </row>
    <row r="498" spans="17:24">
      <c r="Q498" s="97" t="s">
        <v>5891</v>
      </c>
      <c r="R498" s="93">
        <v>207642.22201140001</v>
      </c>
      <c r="T498" t="s">
        <v>25</v>
      </c>
    </row>
    <row r="499" spans="17:24">
      <c r="Q499" s="97" t="s">
        <v>5891</v>
      </c>
      <c r="R499" s="93">
        <v>33832510.64875</v>
      </c>
      <c r="T499" s="112">
        <f>V495+T497</f>
        <v>-4032375.0808932781</v>
      </c>
    </row>
    <row r="500" spans="17:24">
      <c r="Q500" s="97" t="s">
        <v>5908</v>
      </c>
      <c r="R500" s="93">
        <v>637977.33504399995</v>
      </c>
      <c r="T500" t="s">
        <v>25</v>
      </c>
    </row>
    <row r="501" spans="17:24">
      <c r="Q501" s="97" t="s">
        <v>5909</v>
      </c>
      <c r="R501" s="93">
        <v>466552.25632400002</v>
      </c>
      <c r="T501" t="s">
        <v>25</v>
      </c>
      <c r="X501" s="112">
        <f>V509+V511</f>
        <v>22521440</v>
      </c>
    </row>
    <row r="502" spans="17:24">
      <c r="Q502" s="97" t="s">
        <v>5911</v>
      </c>
      <c r="R502" s="93">
        <v>149316.98805000001</v>
      </c>
      <c r="W502" s="94" t="s">
        <v>25</v>
      </c>
    </row>
    <row r="503" spans="17:24">
      <c r="Q503" s="97" t="s">
        <v>5911</v>
      </c>
      <c r="R503" s="93">
        <v>189134.85153000001</v>
      </c>
    </row>
    <row r="504" spans="17:24">
      <c r="Q504" s="97" t="s">
        <v>5918</v>
      </c>
      <c r="R504" s="93">
        <v>564888.82799599995</v>
      </c>
      <c r="T504" t="s">
        <v>25</v>
      </c>
    </row>
    <row r="505" spans="17:24">
      <c r="Q505" s="97" t="s">
        <v>5943</v>
      </c>
      <c r="R505" s="93">
        <v>8762299.2047910001</v>
      </c>
      <c r="T505" s="97" t="s">
        <v>4747</v>
      </c>
      <c r="U505" s="97"/>
      <c r="V505" s="97"/>
    </row>
    <row r="506" spans="17:24">
      <c r="Q506" s="97"/>
      <c r="R506" s="93"/>
      <c r="T506" s="97" t="s">
        <v>452</v>
      </c>
      <c r="U506" s="97">
        <v>4217700</v>
      </c>
      <c r="V506" s="35">
        <f>U506*80</f>
        <v>337416000</v>
      </c>
      <c r="W506" s="94" t="s">
        <v>25</v>
      </c>
    </row>
    <row r="507" spans="17:24">
      <c r="Q507" s="97"/>
      <c r="R507" s="93"/>
      <c r="T507" s="97" t="s">
        <v>5951</v>
      </c>
      <c r="U507" s="97">
        <v>2527652</v>
      </c>
      <c r="V507" s="49">
        <f>U507*80-50000000</f>
        <v>152212160</v>
      </c>
      <c r="X507" t="s">
        <v>25</v>
      </c>
    </row>
    <row r="508" spans="17:24">
      <c r="Q508" s="97" t="s">
        <v>25</v>
      </c>
      <c r="R508" s="93"/>
      <c r="T508" s="97" t="s">
        <v>5905</v>
      </c>
      <c r="U508" s="97">
        <v>47381</v>
      </c>
      <c r="V508" s="35">
        <f t="shared" ref="V508" si="108">U508*80</f>
        <v>3790480</v>
      </c>
    </row>
    <row r="509" spans="17:24">
      <c r="Q509" s="97" t="s">
        <v>25</v>
      </c>
      <c r="R509" s="97" t="s">
        <v>25</v>
      </c>
      <c r="T509" s="97" t="s">
        <v>1071</v>
      </c>
      <c r="U509" s="97">
        <v>226303</v>
      </c>
      <c r="V509" s="186">
        <f>U509*80</f>
        <v>18104240</v>
      </c>
    </row>
    <row r="510" spans="17:24">
      <c r="Q510" s="97"/>
      <c r="R510" s="93">
        <f>SUM(R304:R509)</f>
        <v>2471545736.5169044</v>
      </c>
      <c r="T510" s="97" t="s">
        <v>5904</v>
      </c>
      <c r="U510" s="97">
        <v>8020</v>
      </c>
      <c r="V510" s="35">
        <f>U510*80</f>
        <v>641600</v>
      </c>
    </row>
    <row r="511" spans="17:24">
      <c r="R511" s="97" t="s">
        <v>6</v>
      </c>
      <c r="T511" s="97" t="s">
        <v>5900</v>
      </c>
      <c r="U511" s="97">
        <v>55215</v>
      </c>
      <c r="V511" s="186">
        <f>U511*80</f>
        <v>4417200</v>
      </c>
    </row>
    <row r="512" spans="17:24">
      <c r="T512" s="97" t="s">
        <v>5901</v>
      </c>
      <c r="U512" s="97">
        <v>26770</v>
      </c>
      <c r="V512" s="49">
        <f>U512*80</f>
        <v>2141600</v>
      </c>
    </row>
    <row r="513" spans="17:24">
      <c r="Q513" t="s">
        <v>25</v>
      </c>
    </row>
    <row r="516" spans="17:24">
      <c r="R516" t="s">
        <v>25</v>
      </c>
      <c r="X516" t="s">
        <v>25</v>
      </c>
    </row>
    <row r="517" spans="17:24">
      <c r="Q517" t="s">
        <v>25</v>
      </c>
      <c r="R517" t="s">
        <v>25</v>
      </c>
      <c r="T517" s="97" t="s">
        <v>5561</v>
      </c>
      <c r="U517" s="97">
        <v>139096</v>
      </c>
      <c r="V517" s="167">
        <f>U517*80</f>
        <v>11127680</v>
      </c>
    </row>
    <row r="518" spans="17:24">
      <c r="T518" s="97"/>
      <c r="U518" s="97"/>
      <c r="V518" s="167"/>
    </row>
    <row r="519" spans="17:24">
      <c r="R519" t="s">
        <v>25</v>
      </c>
      <c r="T519" s="97"/>
      <c r="U519" s="97"/>
      <c r="V519" s="167"/>
    </row>
    <row r="521" spans="17:24">
      <c r="T521" s="94"/>
      <c r="V521" s="94"/>
    </row>
    <row r="522" spans="17:24">
      <c r="T522" s="94"/>
      <c r="V522" s="94"/>
      <c r="W522" s="112"/>
    </row>
    <row r="523" spans="17:24">
      <c r="T523" s="94"/>
      <c r="V523" s="94"/>
    </row>
    <row r="524" spans="17:24">
      <c r="T524" s="94"/>
      <c r="V524" s="94"/>
    </row>
    <row r="526" spans="17:24">
      <c r="U526"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7 G146:G149 G100:G109 G169 G180:G182 G332:G1048576 G197:G218 G321:G327 G144 G155:G157 G161:G167 G115:G123 G129:G13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6"/>
  <sheetViews>
    <sheetView topLeftCell="A106" zoomScale="80" zoomScaleNormal="80" workbookViewId="0">
      <selection activeCell="C135" sqref="C13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20015</v>
      </c>
      <c r="D92" s="287">
        <v>1</v>
      </c>
      <c r="E92" s="60" t="s">
        <v>4357</v>
      </c>
      <c r="F92" s="49">
        <f>C133</f>
        <v>14700</v>
      </c>
      <c r="G92" s="60">
        <f>C92*D92*0.99114/(F92*1.0037158)</f>
        <v>1.3445052506549227</v>
      </c>
      <c r="H92" s="205">
        <f>C92/F92</f>
        <v>1.3615646258503402</v>
      </c>
      <c r="I92" s="316">
        <f>F92/C92</f>
        <v>0.73444916312765429</v>
      </c>
      <c r="J92" s="20"/>
      <c r="K92" s="20">
        <f>H92/H89</f>
        <v>1.0267381028205449</v>
      </c>
      <c r="L92" s="20">
        <f>(1/K92-1.0256)*100</f>
        <v>-5.1641794637885656</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1304.9/(1+$F$131)</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1285/(1+$F$131)</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ساله'!P46</f>
        <v>20500</v>
      </c>
      <c r="Y95" s="115">
        <f>T95*X95</f>
        <v>17917000</v>
      </c>
    </row>
    <row r="96" spans="1:25" ht="19.5">
      <c r="A96" s="287" t="s">
        <v>5798</v>
      </c>
      <c r="B96" s="287" t="s">
        <v>4361</v>
      </c>
      <c r="C96" s="288">
        <v>21532</v>
      </c>
      <c r="D96" s="287">
        <v>2917</v>
      </c>
      <c r="E96" s="289" t="s">
        <v>4219</v>
      </c>
      <c r="F96" s="291">
        <f>1274.7/(1+$F$131)</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ساله'!P29</f>
        <v>1066</v>
      </c>
      <c r="Y96" s="115">
        <f>T96*X96</f>
        <v>314470000</v>
      </c>
    </row>
    <row r="97" spans="1:27" ht="19.5">
      <c r="A97" s="287" t="s">
        <v>5794</v>
      </c>
      <c r="B97" s="287" t="s">
        <v>4361</v>
      </c>
      <c r="C97" s="288">
        <v>21532</v>
      </c>
      <c r="D97" s="287">
        <v>18100</v>
      </c>
      <c r="E97" s="289" t="s">
        <v>4219</v>
      </c>
      <c r="F97" s="291">
        <f>1270.4/(1+$F$131)</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5835</v>
      </c>
      <c r="B98" s="287" t="s">
        <v>4361</v>
      </c>
      <c r="C98" s="288">
        <v>17601</v>
      </c>
      <c r="D98" s="287">
        <v>617</v>
      </c>
      <c r="E98" s="289" t="s">
        <v>4219</v>
      </c>
      <c r="F98" s="291">
        <f>1053/(1+$F$131)</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C132</f>
        <v>20015</v>
      </c>
      <c r="D101" s="287">
        <v>1</v>
      </c>
      <c r="E101" s="289" t="s">
        <v>4219</v>
      </c>
      <c r="F101" s="309">
        <f>C131</f>
        <v>1066</v>
      </c>
      <c r="G101" s="289">
        <f t="shared" ref="G101" si="24">C101*D101*0.99114/(F101*1.0037158)</f>
        <v>18.540550829856812</v>
      </c>
      <c r="H101" s="290">
        <f>C101/F101</f>
        <v>18.775797373358348</v>
      </c>
      <c r="I101" s="290">
        <f>F101/C101</f>
        <v>5.3260054958780917E-2</v>
      </c>
      <c r="J101" s="97"/>
      <c r="K101" s="304">
        <f>H101/H98</f>
        <v>1.0470641864374191</v>
      </c>
      <c r="L101" s="305">
        <f>(1/K101-1.0256)*100</f>
        <v>-7.0548711881315063</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340751261</v>
      </c>
    </row>
    <row r="103" spans="1:27">
      <c r="A103" s="60" t="s">
        <v>5743</v>
      </c>
      <c r="B103" s="60" t="s">
        <v>4357</v>
      </c>
      <c r="C103" s="49">
        <v>16290.07</v>
      </c>
      <c r="D103" s="60">
        <v>828</v>
      </c>
      <c r="E103" s="289" t="s">
        <v>4219</v>
      </c>
      <c r="F103" s="291">
        <f>1250/(1+$F$131)</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5839</v>
      </c>
      <c r="B104" s="60" t="s">
        <v>4357</v>
      </c>
      <c r="C104" s="49">
        <v>13371</v>
      </c>
      <c r="D104" s="60">
        <v>598</v>
      </c>
      <c r="E104" s="289" t="s">
        <v>4219</v>
      </c>
      <c r="F104" s="291">
        <f>1248/(1+$F$131)</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5841</v>
      </c>
      <c r="B105" s="60" t="s">
        <v>4357</v>
      </c>
      <c r="C105" s="49">
        <v>13248</v>
      </c>
      <c r="D105" s="60">
        <v>1000</v>
      </c>
      <c r="E105" s="289" t="s">
        <v>4219</v>
      </c>
      <c r="F105" s="291">
        <f>1225/(1+$F$131)</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5842</v>
      </c>
      <c r="B106" s="60" t="s">
        <v>4357</v>
      </c>
      <c r="C106" s="49">
        <v>13248</v>
      </c>
      <c r="D106" s="60">
        <v>1000</v>
      </c>
      <c r="E106" s="289" t="s">
        <v>4219</v>
      </c>
      <c r="F106" s="291">
        <f>1213.2/(1+$F$131)</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5845</v>
      </c>
      <c r="B107" s="60" t="s">
        <v>4357</v>
      </c>
      <c r="C107" s="49">
        <v>12698</v>
      </c>
      <c r="D107" s="60">
        <v>1000</v>
      </c>
      <c r="E107" s="289" t="s">
        <v>4219</v>
      </c>
      <c r="F107" s="291">
        <f>1148/(1+$F$131)</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5845</v>
      </c>
      <c r="B108" s="60" t="s">
        <v>4357</v>
      </c>
      <c r="C108" s="49">
        <v>12748</v>
      </c>
      <c r="D108" s="60">
        <v>1000</v>
      </c>
      <c r="E108" s="289" t="s">
        <v>4219</v>
      </c>
      <c r="F108" s="291">
        <f>1162/(1+$F$131)</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5847</v>
      </c>
      <c r="B109" s="60" t="s">
        <v>4357</v>
      </c>
      <c r="C109" s="49">
        <v>12771</v>
      </c>
      <c r="D109" s="60">
        <v>1580</v>
      </c>
      <c r="E109" s="289" t="s">
        <v>4219</v>
      </c>
      <c r="F109" s="291">
        <f>1135/(1+$F$131)</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20500</v>
      </c>
      <c r="Y109" s="97">
        <f>T109*X109</f>
        <v>87719500</v>
      </c>
    </row>
    <row r="110" spans="1:27">
      <c r="A110" s="326" t="s">
        <v>5855</v>
      </c>
      <c r="B110" s="60" t="s">
        <v>4357</v>
      </c>
      <c r="C110" s="49">
        <v>12777.5</v>
      </c>
      <c r="D110" s="60">
        <v>948</v>
      </c>
      <c r="E110" s="289" t="s">
        <v>4219</v>
      </c>
      <c r="F110" s="291">
        <f>1114/(1+$F$131)</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5860</v>
      </c>
      <c r="B111" s="60" t="s">
        <v>4357</v>
      </c>
      <c r="C111" s="49">
        <v>12782</v>
      </c>
      <c r="D111" s="60">
        <v>1648</v>
      </c>
      <c r="E111" s="289" t="s">
        <v>4219</v>
      </c>
      <c r="F111" s="291">
        <f>1093/(1+$F$131)</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1066</v>
      </c>
      <c r="Y111" s="97">
        <f>T111*X111</f>
        <v>13789776</v>
      </c>
    </row>
    <row r="112" spans="1:27">
      <c r="A112" s="326" t="s">
        <v>5860</v>
      </c>
      <c r="B112" s="60" t="s">
        <v>4357</v>
      </c>
      <c r="C112" s="49">
        <v>12905</v>
      </c>
      <c r="D112" s="60">
        <v>3000</v>
      </c>
      <c r="E112" s="289" t="s">
        <v>4219</v>
      </c>
      <c r="F112" s="291">
        <f>1095/(1+$F$131)</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1060/(1+$F$131)</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5908</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14700</v>
      </c>
      <c r="D118" s="60">
        <v>1</v>
      </c>
      <c r="E118" s="289" t="s">
        <v>4219</v>
      </c>
      <c r="F118" s="291">
        <f>C131</f>
        <v>1066</v>
      </c>
      <c r="G118" s="289">
        <f t="shared" ref="G118" si="42">C118*D118*0.99114/(F118*1.0037158)</f>
        <v>13.617092040914073</v>
      </c>
      <c r="H118" s="290">
        <f>C118/F118</f>
        <v>13.789868667917448</v>
      </c>
      <c r="I118" s="301">
        <f t="shared" ref="I118" si="43">F118/C118</f>
        <v>7.2517006802721093E-2</v>
      </c>
      <c r="J118" s="20"/>
      <c r="K118" s="20">
        <f>H118/H114</f>
        <v>1.00435689113919</v>
      </c>
      <c r="L118" s="97">
        <f>(1/K118-1.0256)*100</f>
        <v>-2.9937990984706953</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5865</v>
      </c>
      <c r="B121" s="289" t="s">
        <v>4219</v>
      </c>
      <c r="C121" s="289">
        <f>1138/(1+$F$131)</f>
        <v>1060.7820186598813</v>
      </c>
      <c r="D121" s="289">
        <f>5652*(1+$F$131)</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5865</v>
      </c>
      <c r="B122" s="289" t="s">
        <v>4219</v>
      </c>
      <c r="C122" s="289">
        <f>1138/(1+$F$131)</f>
        <v>1060.7820186598813</v>
      </c>
      <c r="D122" s="289">
        <v>39712</v>
      </c>
      <c r="E122" s="323" t="s">
        <v>5292</v>
      </c>
      <c r="F122" s="323">
        <v>1275</v>
      </c>
      <c r="G122" s="323">
        <f t="shared" ref="G122:G126" si="46">C122*D122*0.99114/(F122*1.0037158)</f>
        <v>32625.859930743478</v>
      </c>
      <c r="H122" s="323">
        <f t="shared" ref="H122:H126" si="47">C122/F122</f>
        <v>0.83198589698814218</v>
      </c>
      <c r="I122" s="323">
        <f t="shared" ref="I122:I126" si="48">F122/C122</f>
        <v>1.2019434507484836</v>
      </c>
      <c r="J122" s="97"/>
      <c r="K122" s="97">
        <f>H122/H121</f>
        <v>0.99615686274509796</v>
      </c>
      <c r="L122" s="94"/>
      <c r="M122" s="94"/>
      <c r="N122" s="94"/>
      <c r="O122" t="s">
        <v>25</v>
      </c>
      <c r="P122" s="94" t="s">
        <v>25</v>
      </c>
      <c r="Q122" t="s">
        <v>25</v>
      </c>
      <c r="R122" t="s">
        <v>25</v>
      </c>
      <c r="S122" t="s">
        <v>25</v>
      </c>
    </row>
    <row r="123" spans="1:25">
      <c r="A123" s="289" t="s">
        <v>5909</v>
      </c>
      <c r="B123" s="289" t="s">
        <v>4219</v>
      </c>
      <c r="C123" s="289">
        <v>1243</v>
      </c>
      <c r="D123" s="289">
        <v>1</v>
      </c>
      <c r="E123" s="323" t="s">
        <v>5292</v>
      </c>
      <c r="F123" s="323">
        <v>1459.7</v>
      </c>
      <c r="G123" s="323">
        <f t="shared" si="46"/>
        <v>0.84087562506827185</v>
      </c>
      <c r="H123" s="323">
        <f>C123/F123</f>
        <v>0.85154483798040692</v>
      </c>
      <c r="I123" s="323">
        <f t="shared" si="48"/>
        <v>1.1743362831858408</v>
      </c>
      <c r="J123" s="97"/>
      <c r="K123" s="97">
        <f>H123/H122</f>
        <v>1.0235087410292287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1066</v>
      </c>
      <c r="D127" s="97"/>
      <c r="E127" s="97"/>
      <c r="F127" s="93">
        <f>C134</f>
        <v>1270</v>
      </c>
      <c r="G127" s="97">
        <f t="shared" ref="G127" si="51">C127*D127*0.99114/(F127*1.0037158)</f>
        <v>0</v>
      </c>
      <c r="H127" s="97">
        <f>C127/F127</f>
        <v>0.83937007874015745</v>
      </c>
      <c r="I127" s="97">
        <f t="shared" ref="I127" si="52">F127/C127</f>
        <v>1.1913696060037524</v>
      </c>
      <c r="J127" s="97"/>
      <c r="K127" s="97">
        <f>H127/H122</f>
        <v>1.0088753688959713</v>
      </c>
      <c r="L127" s="305">
        <f>(1/K127-1.0256)*100</f>
        <v>-3.4397289704558687</v>
      </c>
      <c r="R127" t="s">
        <v>25</v>
      </c>
    </row>
    <row r="129" spans="1:20">
      <c r="S129" t="s">
        <v>25</v>
      </c>
      <c r="T129" t="s">
        <v>25</v>
      </c>
    </row>
    <row r="130" spans="1:20">
      <c r="D130" t="s">
        <v>5906</v>
      </c>
      <c r="E130" t="s">
        <v>5907</v>
      </c>
      <c r="O130" t="s">
        <v>25</v>
      </c>
      <c r="P130" s="94" t="s">
        <v>5552</v>
      </c>
      <c r="R130" t="s">
        <v>25</v>
      </c>
      <c r="S130" t="s">
        <v>25</v>
      </c>
    </row>
    <row r="131" spans="1:20" ht="21">
      <c r="B131" t="s">
        <v>4219</v>
      </c>
      <c r="C131" s="307">
        <v>1066</v>
      </c>
      <c r="D131">
        <v>80</v>
      </c>
      <c r="E131" s="112">
        <v>1099</v>
      </c>
      <c r="F131">
        <f>D131/E131</f>
        <v>7.2793448589626927E-2</v>
      </c>
      <c r="P131" s="94" t="s">
        <v>5553</v>
      </c>
      <c r="Q131" t="s">
        <v>25</v>
      </c>
    </row>
    <row r="132" spans="1:20" ht="21">
      <c r="B132" t="s">
        <v>4361</v>
      </c>
      <c r="C132" s="306">
        <v>20015</v>
      </c>
      <c r="E132" s="94"/>
      <c r="H132">
        <v>12169</v>
      </c>
      <c r="I132">
        <f>H132/0.99114</f>
        <v>12277.781140908448</v>
      </c>
      <c r="K132">
        <v>10000</v>
      </c>
      <c r="L132">
        <v>35285</v>
      </c>
      <c r="P132" s="94" t="s">
        <v>5554</v>
      </c>
      <c r="Q132" t="s">
        <v>25</v>
      </c>
      <c r="R132" t="s">
        <v>25</v>
      </c>
    </row>
    <row r="133" spans="1:20" ht="21">
      <c r="A133" s="94"/>
      <c r="B133" t="s">
        <v>4357</v>
      </c>
      <c r="C133" s="324">
        <v>14700</v>
      </c>
      <c r="H133">
        <v>12169</v>
      </c>
      <c r="I133" s="94">
        <f t="shared" ref="I133" si="53">H133/1.0037158</f>
        <v>12123.949827231972</v>
      </c>
      <c r="K133" s="94">
        <f>K132*L133/L132</f>
        <v>1497.803599263143</v>
      </c>
      <c r="L133">
        <v>5285</v>
      </c>
      <c r="M133" s="94"/>
      <c r="N133" s="94"/>
      <c r="O133" s="94"/>
      <c r="P133" s="94" t="s">
        <v>5555</v>
      </c>
    </row>
    <row r="134" spans="1:20" ht="21">
      <c r="A134" s="94"/>
      <c r="B134" s="94" t="s">
        <v>5292</v>
      </c>
      <c r="C134" s="325">
        <v>1270</v>
      </c>
      <c r="D134" s="94"/>
      <c r="E134" s="94">
        <v>1193</v>
      </c>
      <c r="F134" s="94">
        <v>5000</v>
      </c>
      <c r="G134" s="94"/>
      <c r="H134">
        <v>140665</v>
      </c>
      <c r="I134" s="94">
        <f>H134*0.99114/1.0037158</f>
        <v>138902.5739158435</v>
      </c>
      <c r="J134" s="94"/>
      <c r="K134">
        <f>K132-K133</f>
        <v>8502.196400736857</v>
      </c>
      <c r="L134">
        <f>L132-L133</f>
        <v>30000</v>
      </c>
      <c r="M134" s="94"/>
      <c r="N134" s="94"/>
      <c r="O134" s="94"/>
      <c r="P134" s="94" t="s">
        <v>5556</v>
      </c>
    </row>
    <row r="135" spans="1:20" ht="21">
      <c r="A135" s="94"/>
      <c r="B135" s="120" t="s">
        <v>5913</v>
      </c>
      <c r="C135" s="328">
        <v>315</v>
      </c>
      <c r="E135">
        <v>1253.7</v>
      </c>
      <c r="F135">
        <v>4698</v>
      </c>
      <c r="M135" s="94"/>
      <c r="N135" s="94"/>
      <c r="O135" s="94"/>
      <c r="P135" s="94" t="s">
        <v>5557</v>
      </c>
      <c r="Q135" t="s">
        <v>25</v>
      </c>
      <c r="R135" t="s">
        <v>25</v>
      </c>
    </row>
    <row r="136" spans="1:20" ht="21">
      <c r="B136" s="120" t="s">
        <v>5934</v>
      </c>
      <c r="C136" s="332">
        <v>490</v>
      </c>
      <c r="M136" s="94"/>
      <c r="N136" s="94"/>
      <c r="O136" s="94"/>
      <c r="Q136" t="s">
        <v>25</v>
      </c>
      <c r="R136" t="s">
        <v>25</v>
      </c>
      <c r="S136" t="s">
        <v>25</v>
      </c>
    </row>
    <row r="137" spans="1:20">
      <c r="O137" t="s">
        <v>25</v>
      </c>
      <c r="P137" t="s">
        <v>25</v>
      </c>
    </row>
    <row r="138" spans="1:20">
      <c r="A138" s="60" t="s">
        <v>5845</v>
      </c>
      <c r="B138" s="60" t="s">
        <v>4357</v>
      </c>
      <c r="C138" s="60">
        <v>12975.5</v>
      </c>
      <c r="D138" s="60">
        <v>8000</v>
      </c>
      <c r="E138" s="323" t="s">
        <v>5292</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5847</v>
      </c>
      <c r="B139" s="60" t="s">
        <v>4357</v>
      </c>
      <c r="C139" s="60">
        <v>12936</v>
      </c>
      <c r="D139" s="60">
        <v>316</v>
      </c>
      <c r="E139" s="323" t="s">
        <v>5292</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5908</v>
      </c>
      <c r="B140" s="60" t="s">
        <v>4357</v>
      </c>
      <c r="C140" s="60">
        <v>16119</v>
      </c>
      <c r="D140" s="60">
        <v>1</v>
      </c>
      <c r="E140" s="323" t="s">
        <v>5292</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14700</v>
      </c>
      <c r="D145" s="97"/>
      <c r="E145" s="97"/>
      <c r="F145" s="93">
        <f>C134</f>
        <v>1270</v>
      </c>
      <c r="G145" s="97">
        <f t="shared" ref="G145" si="61">C145*D145*0.99114/(F145*1.0037158)</f>
        <v>0</v>
      </c>
      <c r="H145" s="97">
        <f t="shared" ref="H145" si="62">C145/F145</f>
        <v>11.5748031496063</v>
      </c>
      <c r="I145" s="97">
        <f>F145/C145</f>
        <v>8.6394557823129256E-2</v>
      </c>
      <c r="J145" s="97"/>
      <c r="K145" s="97">
        <f>H145/H139</f>
        <v>1.1187365783822476</v>
      </c>
      <c r="L145" s="305">
        <f>(1/K145-1.0256)*100</f>
        <v>-13.173452771334881</v>
      </c>
      <c r="M145" s="94"/>
      <c r="N145" s="94"/>
      <c r="O145" t="s">
        <v>25</v>
      </c>
    </row>
    <row r="146" spans="1:17">
      <c r="M146" s="94"/>
      <c r="N146" s="94"/>
    </row>
    <row r="147" spans="1:17">
      <c r="A147" s="94"/>
      <c r="B147" s="94"/>
      <c r="C147" s="94"/>
      <c r="D147" s="94"/>
      <c r="E147" s="94"/>
      <c r="F147" s="94"/>
    </row>
    <row r="148" spans="1:17">
      <c r="A148" s="323" t="s">
        <v>5911</v>
      </c>
      <c r="B148" s="323" t="s">
        <v>5292</v>
      </c>
      <c r="C148" s="323">
        <v>1461.2</v>
      </c>
      <c r="D148" s="323">
        <v>8502</v>
      </c>
      <c r="E148" s="23" t="s">
        <v>5913</v>
      </c>
      <c r="F148" s="23">
        <v>410</v>
      </c>
      <c r="G148" s="23">
        <f>C148*D148*0.99114/(F148*1.00103)</f>
        <v>30000.936926516904</v>
      </c>
      <c r="H148" s="23">
        <f t="shared" ref="H148:H154" si="63">C148/F148</f>
        <v>3.5639024390243903</v>
      </c>
      <c r="I148" s="23">
        <f t="shared" ref="I148:I153" si="64">F148/C148</f>
        <v>0.28059129482617029</v>
      </c>
      <c r="J148" s="97"/>
      <c r="K148" s="97">
        <v>1</v>
      </c>
      <c r="L148" s="94"/>
      <c r="M148" s="94"/>
    </row>
    <row r="149" spans="1:17">
      <c r="A149" s="323" t="s">
        <v>5911</v>
      </c>
      <c r="B149" s="323" t="s">
        <v>5292</v>
      </c>
      <c r="C149" s="323">
        <v>1467</v>
      </c>
      <c r="D149" s="323">
        <v>1331</v>
      </c>
      <c r="E149" s="23" t="s">
        <v>5913</v>
      </c>
      <c r="F149" s="23">
        <v>410</v>
      </c>
      <c r="G149" s="23">
        <f t="shared" ref="G149:G153" si="65">C149*D149*0.99114/(F149*1.00103)</f>
        <v>4715.3314227321462</v>
      </c>
      <c r="H149" s="23">
        <f t="shared" si="63"/>
        <v>3.5780487804878049</v>
      </c>
      <c r="I149" s="23">
        <f t="shared" si="64"/>
        <v>0.27948193592365372</v>
      </c>
      <c r="J149" s="97"/>
      <c r="K149" s="97">
        <f>H149/H148</f>
        <v>1.0039693402682726</v>
      </c>
      <c r="L149" s="94" t="s">
        <v>25</v>
      </c>
      <c r="M149" s="94" t="s">
        <v>25</v>
      </c>
    </row>
    <row r="150" spans="1:17">
      <c r="A150" s="329" t="s">
        <v>5911</v>
      </c>
      <c r="B150" s="323" t="s">
        <v>5292</v>
      </c>
      <c r="C150" s="323">
        <v>0</v>
      </c>
      <c r="D150" s="323">
        <v>0</v>
      </c>
      <c r="E150" s="23" t="s">
        <v>5913</v>
      </c>
      <c r="F150" s="23">
        <v>0</v>
      </c>
      <c r="G150" s="23" t="e">
        <f t="shared" si="65"/>
        <v>#DIV/0!</v>
      </c>
      <c r="H150" s="23" t="e">
        <f t="shared" si="63"/>
        <v>#DIV/0!</v>
      </c>
      <c r="I150" s="23" t="e">
        <f t="shared" si="64"/>
        <v>#DIV/0!</v>
      </c>
      <c r="J150" s="97"/>
      <c r="K150" s="97" t="e">
        <f>H150/H149</f>
        <v>#DIV/0!</v>
      </c>
      <c r="L150" s="94"/>
      <c r="M150" s="94"/>
    </row>
    <row r="151" spans="1:17">
      <c r="A151" s="323"/>
      <c r="B151" s="323"/>
      <c r="C151" s="323"/>
      <c r="D151" s="323"/>
      <c r="E151" s="23"/>
      <c r="F151" s="23"/>
      <c r="G151" s="23" t="e">
        <f t="shared" si="65"/>
        <v>#DIV/0!</v>
      </c>
      <c r="H151" s="23" t="e">
        <f t="shared" si="63"/>
        <v>#DIV/0!</v>
      </c>
      <c r="I151" s="23" t="e">
        <f t="shared" si="64"/>
        <v>#DIV/0!</v>
      </c>
      <c r="J151" s="97"/>
      <c r="K151" s="97" t="e">
        <f>H151/#REF!</f>
        <v>#DIV/0!</v>
      </c>
      <c r="L151" s="94"/>
      <c r="M151" s="94"/>
    </row>
    <row r="152" spans="1:17">
      <c r="A152" s="323"/>
      <c r="B152" s="323"/>
      <c r="C152" s="323"/>
      <c r="D152" s="323"/>
      <c r="E152" s="23"/>
      <c r="F152" s="23"/>
      <c r="G152" s="23" t="e">
        <f t="shared" si="65"/>
        <v>#DIV/0!</v>
      </c>
      <c r="H152" s="23" t="e">
        <f t="shared" si="63"/>
        <v>#DIV/0!</v>
      </c>
      <c r="I152" s="23" t="e">
        <f t="shared" si="64"/>
        <v>#DIV/0!</v>
      </c>
      <c r="J152" s="97"/>
      <c r="K152" s="97" t="e">
        <f t="shared" ref="K152:K153" si="66">H152/H151</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si="66"/>
        <v>#DIV/0!</v>
      </c>
      <c r="L153" s="94"/>
      <c r="M153" s="94"/>
      <c r="P153" t="s">
        <v>25</v>
      </c>
    </row>
    <row r="154" spans="1:17">
      <c r="A154" s="97"/>
      <c r="B154" s="97" t="s">
        <v>25</v>
      </c>
      <c r="C154" s="93">
        <f>C134</f>
        <v>1270</v>
      </c>
      <c r="D154" s="97"/>
      <c r="E154" s="97"/>
      <c r="F154" s="93">
        <f>C135</f>
        <v>315</v>
      </c>
      <c r="G154" s="97">
        <f t="shared" ref="G154" si="67">C154*D154*0.99114/(F154*1.0037158)</f>
        <v>0</v>
      </c>
      <c r="H154" s="97">
        <f t="shared" si="63"/>
        <v>4.0317460317460316</v>
      </c>
      <c r="I154" s="97">
        <f>F154/C154</f>
        <v>0.24803149606299213</v>
      </c>
      <c r="J154" s="97"/>
      <c r="K154" s="97">
        <f>H154/H149</f>
        <v>1.1268001861048895</v>
      </c>
      <c r="L154" s="330">
        <f>(1/K154-1.0146358)*100</f>
        <v>-12.716700798924519</v>
      </c>
      <c r="M154" s="94"/>
    </row>
    <row r="155" spans="1:17">
      <c r="Q155" t="s">
        <v>25</v>
      </c>
    </row>
    <row r="156" spans="1:17">
      <c r="A156" s="60" t="s">
        <v>5933</v>
      </c>
      <c r="B156" s="60" t="s">
        <v>4357</v>
      </c>
      <c r="C156" s="60">
        <v>15396.7</v>
      </c>
      <c r="D156" s="60">
        <v>1125</v>
      </c>
      <c r="E156" s="331" t="s">
        <v>5934</v>
      </c>
      <c r="F156" s="331">
        <v>490</v>
      </c>
      <c r="G156" s="331">
        <f>C156*D156*0.99114/(F156*1.00103)</f>
        <v>35000.31884047186</v>
      </c>
      <c r="H156" s="331">
        <f t="shared" ref="H156:H162" si="68">C156/F156</f>
        <v>31.42183673469388</v>
      </c>
      <c r="I156" s="331">
        <f t="shared" ref="I156:I161" si="69">F156/C156</f>
        <v>3.1825001461352108E-2</v>
      </c>
      <c r="J156" s="97"/>
      <c r="K156" s="97">
        <v>1</v>
      </c>
      <c r="L156" s="94"/>
      <c r="Q156" t="s">
        <v>25</v>
      </c>
    </row>
    <row r="157" spans="1:17">
      <c r="A157" s="60"/>
      <c r="B157" s="60"/>
      <c r="C157" s="60"/>
      <c r="D157" s="60"/>
      <c r="E157" s="331"/>
      <c r="F157" s="331"/>
      <c r="G157" s="331" t="e">
        <f t="shared" ref="G157:G161" si="70">C157*D157*0.99114/(F157*1.00103)</f>
        <v>#DIV/0!</v>
      </c>
      <c r="H157" s="331" t="e">
        <f t="shared" si="68"/>
        <v>#DIV/0!</v>
      </c>
      <c r="I157" s="331" t="e">
        <f t="shared" si="69"/>
        <v>#DIV/0!</v>
      </c>
      <c r="J157" s="97"/>
      <c r="K157" s="97" t="e">
        <f>H157/H156</f>
        <v>#DIV/0!</v>
      </c>
      <c r="L157" s="94" t="s">
        <v>25</v>
      </c>
    </row>
    <row r="158" spans="1:17">
      <c r="A158" s="326"/>
      <c r="B158" s="60"/>
      <c r="C158" s="60"/>
      <c r="D158" s="60"/>
      <c r="E158" s="331"/>
      <c r="F158" s="331"/>
      <c r="G158" s="331" t="e">
        <f t="shared" si="70"/>
        <v>#DIV/0!</v>
      </c>
      <c r="H158" s="331" t="e">
        <f t="shared" si="68"/>
        <v>#DIV/0!</v>
      </c>
      <c r="I158" s="331" t="e">
        <f t="shared" si="69"/>
        <v>#DIV/0!</v>
      </c>
      <c r="J158" s="97"/>
      <c r="K158" s="97" t="e">
        <f>H158/H157</f>
        <v>#DIV/0!</v>
      </c>
      <c r="L158" s="94"/>
    </row>
    <row r="159" spans="1:17">
      <c r="A159" s="60"/>
      <c r="B159" s="60"/>
      <c r="C159" s="60"/>
      <c r="D159" s="60"/>
      <c r="E159" s="331"/>
      <c r="F159" s="331"/>
      <c r="G159" s="331" t="e">
        <f t="shared" si="70"/>
        <v>#DIV/0!</v>
      </c>
      <c r="H159" s="331" t="e">
        <f t="shared" si="68"/>
        <v>#DIV/0!</v>
      </c>
      <c r="I159" s="331" t="e">
        <f t="shared" si="69"/>
        <v>#DIV/0!</v>
      </c>
      <c r="J159" s="97"/>
      <c r="K159" s="97" t="e">
        <f>H159/#REF!</f>
        <v>#DIV/0!</v>
      </c>
      <c r="L159" s="94"/>
    </row>
    <row r="160" spans="1:17">
      <c r="A160" s="60"/>
      <c r="B160" s="60"/>
      <c r="C160" s="60"/>
      <c r="D160" s="60"/>
      <c r="E160" s="331"/>
      <c r="F160" s="331"/>
      <c r="G160" s="331" t="e">
        <f t="shared" si="70"/>
        <v>#DIV/0!</v>
      </c>
      <c r="H160" s="331" t="e">
        <f t="shared" si="68"/>
        <v>#DIV/0!</v>
      </c>
      <c r="I160" s="331" t="e">
        <f t="shared" si="69"/>
        <v>#DIV/0!</v>
      </c>
      <c r="J160" s="97"/>
      <c r="K160" s="97" t="e">
        <f t="shared" ref="K160:K161" si="71">H160/H159</f>
        <v>#DIV/0!</v>
      </c>
      <c r="L160" s="94"/>
    </row>
    <row r="161" spans="1:16">
      <c r="A161" s="60"/>
      <c r="B161" s="60"/>
      <c r="C161" s="60"/>
      <c r="D161" s="60"/>
      <c r="E161" s="331"/>
      <c r="F161" s="331"/>
      <c r="G161" s="331" t="e">
        <f t="shared" si="70"/>
        <v>#DIV/0!</v>
      </c>
      <c r="H161" s="331" t="e">
        <f t="shared" si="68"/>
        <v>#DIV/0!</v>
      </c>
      <c r="I161" s="331" t="e">
        <f t="shared" si="69"/>
        <v>#DIV/0!</v>
      </c>
      <c r="J161" s="97"/>
      <c r="K161" s="97" t="e">
        <f t="shared" si="71"/>
        <v>#DIV/0!</v>
      </c>
      <c r="L161" s="94"/>
      <c r="P161" t="s">
        <v>25</v>
      </c>
    </row>
    <row r="162" spans="1:16">
      <c r="A162" s="97"/>
      <c r="B162" s="97" t="s">
        <v>25</v>
      </c>
      <c r="C162" s="93">
        <f>C133</f>
        <v>14700</v>
      </c>
      <c r="D162" s="97"/>
      <c r="E162" s="97"/>
      <c r="F162" s="93">
        <f>C136</f>
        <v>490</v>
      </c>
      <c r="G162" s="97">
        <f t="shared" ref="G162" si="72">C162*D162*0.99114/(F162*1.0037158)</f>
        <v>0</v>
      </c>
      <c r="H162" s="97">
        <f t="shared" si="68"/>
        <v>30</v>
      </c>
      <c r="I162" s="97">
        <f>F162/C162</f>
        <v>3.3333333333333333E-2</v>
      </c>
      <c r="J162" s="97"/>
      <c r="K162" s="97">
        <f>H162/H156</f>
        <v>0.95475004384056317</v>
      </c>
      <c r="L162" s="330">
        <f>(1/K162-1.0146358)*100</f>
        <v>3.2758757823129425</v>
      </c>
      <c r="O162" t="s">
        <v>25</v>
      </c>
      <c r="P162" t="s">
        <v>25</v>
      </c>
    </row>
    <row r="165" spans="1:16">
      <c r="A165" s="97" t="s">
        <v>5561</v>
      </c>
      <c r="B165" s="97"/>
      <c r="C165" s="97"/>
      <c r="D165" s="97"/>
      <c r="E165" s="97"/>
      <c r="F165" s="97"/>
      <c r="G165" s="97"/>
      <c r="H165" s="97"/>
      <c r="I165" s="97"/>
      <c r="J165" s="97"/>
      <c r="K165" s="97"/>
    </row>
    <row r="166" spans="1:16">
      <c r="A166" s="287" t="s">
        <v>5794</v>
      </c>
      <c r="B166" s="287" t="s">
        <v>4361</v>
      </c>
      <c r="C166" s="287">
        <v>21532</v>
      </c>
      <c r="D166" s="287">
        <v>1859</v>
      </c>
      <c r="E166" s="289" t="s">
        <v>4219</v>
      </c>
      <c r="F166" s="289">
        <f>1273.7/(1+$F$131)</f>
        <v>1187.2742154368109</v>
      </c>
      <c r="G166" s="289">
        <f>C166*D166*0.99114/(F166*1.0037158)</f>
        <v>33291.776292430572</v>
      </c>
      <c r="H166" s="289">
        <f t="shared" ref="H166" si="73">C166/F166</f>
        <v>18.135658738346429</v>
      </c>
      <c r="I166" s="289">
        <f t="shared" ref="I166" si="74">F166/C166</f>
        <v>5.5139987713022982E-2</v>
      </c>
      <c r="J166" s="97"/>
      <c r="K166" s="97">
        <v>1</v>
      </c>
    </row>
    <row r="167" spans="1:16">
      <c r="A167" s="287" t="s">
        <v>5801</v>
      </c>
      <c r="B167" s="287" t="s">
        <v>4361</v>
      </c>
      <c r="C167" s="287">
        <v>22420.1</v>
      </c>
      <c r="D167" s="287">
        <v>1000</v>
      </c>
      <c r="E167" s="289" t="s">
        <v>4219</v>
      </c>
      <c r="F167" s="289">
        <f>1246/(1+$F$131)</f>
        <v>1161.4537743850722</v>
      </c>
      <c r="G167" s="289">
        <f t="shared" ref="G167:G177" si="75">C167*D167*0.99114/(F167*1.0037158)</f>
        <v>19061.622243209389</v>
      </c>
      <c r="H167" s="289">
        <f t="shared" ref="H167:H177" si="76">C167/F167</f>
        <v>19.303480254192852</v>
      </c>
      <c r="I167" s="289">
        <f t="shared" ref="I167" si="77">F167/C167</f>
        <v>5.1804129971992643E-2</v>
      </c>
      <c r="J167" s="97"/>
      <c r="K167" s="97">
        <f>H167/H166</f>
        <v>1.0643936640347758</v>
      </c>
      <c r="L167" t="s">
        <v>25</v>
      </c>
    </row>
    <row r="168" spans="1:16">
      <c r="A168" s="287" t="s">
        <v>5804</v>
      </c>
      <c r="B168" s="287" t="s">
        <v>4361</v>
      </c>
      <c r="C168" s="287">
        <v>23233.1</v>
      </c>
      <c r="D168" s="287">
        <v>1000</v>
      </c>
      <c r="E168" s="289" t="s">
        <v>4219</v>
      </c>
      <c r="F168" s="289">
        <f>1236/(1+$F$131)</f>
        <v>1152.1323155216285</v>
      </c>
      <c r="G168" s="289">
        <f t="shared" ref="G168:G176" si="78">C168*D168*0.99114/(F168*1.0037158)</f>
        <v>19912.649368447332</v>
      </c>
      <c r="H168" s="289">
        <f t="shared" ref="H168:H176" si="79">C168/F168</f>
        <v>20.165305396786135</v>
      </c>
      <c r="I168" s="289">
        <f t="shared" ref="I168:I176" si="80">F168/C168</f>
        <v>4.9590124241776973E-2</v>
      </c>
      <c r="J168" s="97"/>
      <c r="K168" s="97">
        <f t="shared" ref="K168:K176" si="81">H168/H167</f>
        <v>1.0446461017000335</v>
      </c>
    </row>
    <row r="169" spans="1:16">
      <c r="A169" s="287" t="s">
        <v>5806</v>
      </c>
      <c r="B169" s="287" t="s">
        <v>4361</v>
      </c>
      <c r="C169" s="287">
        <v>23900</v>
      </c>
      <c r="D169" s="287">
        <v>1000</v>
      </c>
      <c r="E169" s="289" t="s">
        <v>4219</v>
      </c>
      <c r="F169" s="289">
        <f>1237.2/(1+$F$131)</f>
        <v>1153.2508905852419</v>
      </c>
      <c r="G169" s="289">
        <f t="shared" si="78"/>
        <v>20464.368391121596</v>
      </c>
      <c r="H169" s="289">
        <f t="shared" si="79"/>
        <v>20.724024750478563</v>
      </c>
      <c r="I169" s="289">
        <f t="shared" si="80"/>
        <v>4.8253175338294638E-2</v>
      </c>
      <c r="J169" s="97"/>
      <c r="K169" s="97">
        <f t="shared" si="81"/>
        <v>1.0277069621658927</v>
      </c>
    </row>
    <row r="170" spans="1:16">
      <c r="A170" s="287" t="s">
        <v>5820</v>
      </c>
      <c r="B170" s="287" t="s">
        <v>4361</v>
      </c>
      <c r="C170" s="287">
        <v>22500</v>
      </c>
      <c r="D170" s="287">
        <v>2000</v>
      </c>
      <c r="E170" s="289" t="s">
        <v>4219</v>
      </c>
      <c r="F170" s="289">
        <f>1173/(1+$F$131)</f>
        <v>1093.407124681934</v>
      </c>
      <c r="G170" s="289">
        <f t="shared" si="78"/>
        <v>40640.108358830439</v>
      </c>
      <c r="H170" s="289">
        <f t="shared" si="79"/>
        <v>20.57787944865013</v>
      </c>
      <c r="I170" s="289">
        <f t="shared" si="80"/>
        <v>4.8595872208085956E-2</v>
      </c>
      <c r="J170" s="97"/>
      <c r="K170" s="97">
        <f t="shared" si="81"/>
        <v>0.99294802512600466</v>
      </c>
    </row>
    <row r="171" spans="1:16">
      <c r="A171" s="287"/>
      <c r="B171" s="287" t="s">
        <v>4219</v>
      </c>
      <c r="C171" s="287">
        <v>1195</v>
      </c>
      <c r="D171" s="287">
        <v>16000</v>
      </c>
      <c r="E171" s="289" t="s">
        <v>4357</v>
      </c>
      <c r="F171" s="289">
        <v>15570</v>
      </c>
      <c r="G171" s="289">
        <f t="shared" si="78"/>
        <v>1212.6166254245577</v>
      </c>
      <c r="H171" s="289">
        <f t="shared" si="79"/>
        <v>7.6750160565189463E-2</v>
      </c>
      <c r="I171" s="289">
        <f>F171/C171</f>
        <v>13.02928870292887</v>
      </c>
      <c r="J171" s="97"/>
      <c r="K171" s="97"/>
      <c r="L171" s="94"/>
    </row>
    <row r="172" spans="1:16">
      <c r="A172" s="287"/>
      <c r="B172" s="287"/>
      <c r="C172" s="287"/>
      <c r="D172" s="287"/>
      <c r="E172" s="289"/>
      <c r="F172" s="289"/>
      <c r="G172" s="289" t="e">
        <f t="shared" ref="G172:G173" si="82">C172*D172*0.99114/(F172*1.0037158)</f>
        <v>#DIV/0!</v>
      </c>
      <c r="H172" s="289" t="e">
        <f t="shared" ref="H172:H173" si="83">C172/F172</f>
        <v>#DIV/0!</v>
      </c>
      <c r="I172" s="289" t="e">
        <f t="shared" ref="I172:I173" si="84">F172/C172</f>
        <v>#DIV/0!</v>
      </c>
      <c r="J172" s="97"/>
      <c r="K172" s="97"/>
      <c r="L172" s="94"/>
    </row>
    <row r="173" spans="1:16">
      <c r="A173" s="287"/>
      <c r="B173" s="287"/>
      <c r="C173" s="287"/>
      <c r="D173" s="287"/>
      <c r="E173" s="289"/>
      <c r="F173" s="289"/>
      <c r="G173" s="289" t="e">
        <f t="shared" si="82"/>
        <v>#DIV/0!</v>
      </c>
      <c r="H173" s="289" t="e">
        <f t="shared" si="83"/>
        <v>#DIV/0!</v>
      </c>
      <c r="I173" s="289" t="e">
        <f t="shared" si="84"/>
        <v>#DIV/0!</v>
      </c>
      <c r="J173" s="97"/>
      <c r="K173" s="97"/>
      <c r="L173" s="94"/>
    </row>
    <row r="174" spans="1:16">
      <c r="A174" s="287"/>
      <c r="B174" s="287"/>
      <c r="C174" s="287"/>
      <c r="D174" s="287"/>
      <c r="E174" s="289"/>
      <c r="F174" s="289"/>
      <c r="G174" s="289"/>
      <c r="H174" s="289"/>
      <c r="I174" s="289"/>
      <c r="J174" s="97"/>
      <c r="K174" s="97"/>
      <c r="L174" s="94"/>
    </row>
    <row r="175" spans="1:16">
      <c r="A175" s="287"/>
      <c r="B175" s="287"/>
      <c r="C175" s="287"/>
      <c r="D175" s="287"/>
      <c r="E175" s="289"/>
      <c r="F175" s="289"/>
      <c r="G175" s="289" t="e">
        <f t="shared" si="78"/>
        <v>#DIV/0!</v>
      </c>
      <c r="H175" s="289" t="e">
        <f t="shared" si="79"/>
        <v>#DIV/0!</v>
      </c>
      <c r="I175" s="289" t="e">
        <f t="shared" si="80"/>
        <v>#DIV/0!</v>
      </c>
      <c r="J175" s="97"/>
      <c r="K175" s="97" t="e">
        <f>H175/H170</f>
        <v>#DIV/0!</v>
      </c>
      <c r="L175" s="94"/>
    </row>
    <row r="176" spans="1:16">
      <c r="A176" s="97"/>
      <c r="B176" s="97"/>
      <c r="C176" s="97"/>
      <c r="D176" s="97"/>
      <c r="E176" s="97"/>
      <c r="F176" s="97"/>
      <c r="G176" s="97" t="e">
        <f t="shared" si="78"/>
        <v>#DIV/0!</v>
      </c>
      <c r="H176" s="97" t="e">
        <f t="shared" si="79"/>
        <v>#DIV/0!</v>
      </c>
      <c r="I176" s="97" t="e">
        <f t="shared" si="80"/>
        <v>#DIV/0!</v>
      </c>
      <c r="J176" s="97"/>
      <c r="K176" s="97" t="e">
        <f t="shared" si="81"/>
        <v>#DIV/0!</v>
      </c>
      <c r="L176" s="94"/>
      <c r="P176" t="s">
        <v>25</v>
      </c>
    </row>
    <row r="177" spans="1:21">
      <c r="A177" s="97"/>
      <c r="B177" s="97" t="s">
        <v>25</v>
      </c>
      <c r="C177" s="93">
        <f>C131</f>
        <v>1066</v>
      </c>
      <c r="D177" s="97"/>
      <c r="E177" s="97"/>
      <c r="F177" s="93">
        <f>C133</f>
        <v>14700</v>
      </c>
      <c r="G177" s="97">
        <f t="shared" si="75"/>
        <v>0</v>
      </c>
      <c r="H177" s="97">
        <f t="shared" si="76"/>
        <v>7.2517006802721093E-2</v>
      </c>
      <c r="I177" s="97">
        <f>F177/C177</f>
        <v>13.789868667917448</v>
      </c>
      <c r="J177" s="97"/>
      <c r="K177" s="97">
        <f>H177/H171</f>
        <v>0.94484501750491001</v>
      </c>
      <c r="L177" s="305">
        <f>(1/K177-1.0256)*100</f>
        <v>3.2774634435539296</v>
      </c>
    </row>
    <row r="180" spans="1:21">
      <c r="A180" s="97"/>
      <c r="B180" s="97"/>
      <c r="C180" s="97" t="s">
        <v>935</v>
      </c>
      <c r="D180" s="97" t="s">
        <v>922</v>
      </c>
      <c r="E180" s="97" t="s">
        <v>5927</v>
      </c>
      <c r="F180" s="97" t="s">
        <v>902</v>
      </c>
      <c r="G180" s="97" t="s">
        <v>4600</v>
      </c>
      <c r="H180" s="97" t="s">
        <v>902</v>
      </c>
      <c r="I180" s="97" t="s">
        <v>5937</v>
      </c>
      <c r="J180" s="97" t="s">
        <v>926</v>
      </c>
      <c r="K180" s="97" t="s">
        <v>4118</v>
      </c>
      <c r="L180" s="97"/>
    </row>
    <row r="181" spans="1:21">
      <c r="A181" s="289" t="s">
        <v>5924</v>
      </c>
      <c r="B181" s="289" t="s">
        <v>4219</v>
      </c>
      <c r="C181" s="289">
        <v>1168</v>
      </c>
      <c r="D181" s="289">
        <v>59719</v>
      </c>
      <c r="E181" s="97">
        <f>C181*1.0037158</f>
        <v>1172.3400543999999</v>
      </c>
      <c r="F181" s="97">
        <f t="shared" ref="F181:F188" si="85">$E$192-E181</f>
        <v>-115.78481439999996</v>
      </c>
      <c r="G181" s="115">
        <f>C181*D181*1.0037158</f>
        <v>70010975.708713591</v>
      </c>
      <c r="H181" s="115">
        <f>D181*F181</f>
        <v>-6914553.3311535977</v>
      </c>
      <c r="I181" s="97">
        <f>C181*1.0127</f>
        <v>1182.8335999999999</v>
      </c>
      <c r="J181" s="93">
        <f>C131</f>
        <v>1066</v>
      </c>
      <c r="K181" s="115">
        <f>D181*(J181-I181)</f>
        <v>-6977185.758399996</v>
      </c>
      <c r="L181" s="97"/>
      <c r="M181" s="94"/>
    </row>
    <row r="182" spans="1:21">
      <c r="A182" s="289" t="s">
        <v>5933</v>
      </c>
      <c r="B182" s="289" t="s">
        <v>4219</v>
      </c>
      <c r="C182" s="289">
        <v>1146</v>
      </c>
      <c r="D182" s="289">
        <v>20000</v>
      </c>
      <c r="E182" s="97">
        <f t="shared" ref="E182" si="86">C182*1.0037158</f>
        <v>1150.2583067999999</v>
      </c>
      <c r="F182" s="97">
        <f t="shared" si="85"/>
        <v>-93.703066799999988</v>
      </c>
      <c r="G182" s="115">
        <f t="shared" ref="G182" si="87">C182*D182*1.0037158</f>
        <v>23005166.136</v>
      </c>
      <c r="H182" s="115">
        <f>D182*F182</f>
        <v>-1874061.3359999997</v>
      </c>
      <c r="I182" s="97">
        <f>C182*1.0127</f>
        <v>1160.5542</v>
      </c>
      <c r="J182" s="93">
        <f>C131</f>
        <v>1066</v>
      </c>
      <c r="K182" s="115">
        <f t="shared" ref="K182:K192" si="88">D182*(J182-I182)</f>
        <v>-1891084.0000000007</v>
      </c>
      <c r="L182" s="97"/>
      <c r="M182" s="94"/>
    </row>
    <row r="183" spans="1:21">
      <c r="A183" s="289" t="s">
        <v>5939</v>
      </c>
      <c r="B183" s="289" t="s">
        <v>4219</v>
      </c>
      <c r="C183" s="289">
        <v>1119</v>
      </c>
      <c r="D183" s="289">
        <v>16134</v>
      </c>
      <c r="E183" s="97">
        <f t="shared" ref="E183" si="89">C183*1.0037158</f>
        <v>1123.1579801999999</v>
      </c>
      <c r="F183" s="97">
        <f t="shared" si="85"/>
        <v>-66.602740199999971</v>
      </c>
      <c r="G183" s="115">
        <f t="shared" ref="G183" si="90">C183*D183*1.0037158</f>
        <v>18121030.8525468</v>
      </c>
      <c r="H183" s="115">
        <f>D183*F183</f>
        <v>-1074568.6103867996</v>
      </c>
      <c r="I183" s="97">
        <f>C183*1.0127</f>
        <v>1133.2112999999999</v>
      </c>
      <c r="J183" s="93">
        <f>C131</f>
        <v>1066</v>
      </c>
      <c r="K183" s="115">
        <f t="shared" si="88"/>
        <v>-1084387.114199999</v>
      </c>
      <c r="L183" s="97"/>
      <c r="M183" s="94" t="s">
        <v>25</v>
      </c>
    </row>
    <row r="184" spans="1:21">
      <c r="A184" s="60" t="s">
        <v>5942</v>
      </c>
      <c r="B184" s="60" t="s">
        <v>4357</v>
      </c>
      <c r="C184" s="60">
        <v>14880</v>
      </c>
      <c r="D184" s="60">
        <v>3157</v>
      </c>
      <c r="E184" s="60">
        <f t="shared" ref="E184:E190" si="91">C184*1.0037158</f>
        <v>14935.291104</v>
      </c>
      <c r="F184" s="60">
        <f t="shared" si="85"/>
        <v>-13878.735864</v>
      </c>
      <c r="G184" s="49">
        <f t="shared" ref="G184:G190" si="92">C184*D184*1.0037158</f>
        <v>47150714.015327998</v>
      </c>
      <c r="H184" s="49">
        <f t="shared" ref="H184:H190" si="93">D184*F184</f>
        <v>-43815169.122648001</v>
      </c>
      <c r="I184" s="60">
        <f>C184*1.0127</f>
        <v>15068.975999999999</v>
      </c>
      <c r="J184" s="335">
        <f>C133</f>
        <v>14700</v>
      </c>
      <c r="K184" s="49">
        <f t="shared" si="88"/>
        <v>-1164857.2319999961</v>
      </c>
      <c r="L184" s="97"/>
      <c r="M184" s="94" t="s">
        <v>25</v>
      </c>
    </row>
    <row r="185" spans="1:21">
      <c r="A185" s="289" t="s">
        <v>5942</v>
      </c>
      <c r="B185" s="289" t="s">
        <v>4219</v>
      </c>
      <c r="C185" s="289">
        <v>1103</v>
      </c>
      <c r="D185" s="289">
        <v>5406</v>
      </c>
      <c r="E185" s="97">
        <f t="shared" si="91"/>
        <v>1107.0985274</v>
      </c>
      <c r="F185" s="97">
        <f t="shared" si="85"/>
        <v>-50.543287400000054</v>
      </c>
      <c r="G185" s="115">
        <f t="shared" si="92"/>
        <v>5984974.6391244</v>
      </c>
      <c r="H185" s="115">
        <f t="shared" si="93"/>
        <v>-273237.01168440026</v>
      </c>
      <c r="I185" s="97">
        <f t="shared" ref="I185:I190" si="94">C185*1.0127</f>
        <v>1117.0081</v>
      </c>
      <c r="J185" s="93">
        <f>C131</f>
        <v>1066</v>
      </c>
      <c r="K185" s="115">
        <f t="shared" si="88"/>
        <v>-275749.78860000009</v>
      </c>
      <c r="L185" s="97"/>
      <c r="M185" s="94"/>
      <c r="P185" t="s">
        <v>25</v>
      </c>
    </row>
    <row r="186" spans="1:21">
      <c r="A186" s="289" t="s">
        <v>5943</v>
      </c>
      <c r="B186" s="289" t="s">
        <v>4219</v>
      </c>
      <c r="C186" s="289">
        <v>1086</v>
      </c>
      <c r="D186" s="289">
        <v>745</v>
      </c>
      <c r="E186" s="97">
        <f t="shared" si="91"/>
        <v>1090.0353588</v>
      </c>
      <c r="F186" s="97">
        <f t="shared" si="85"/>
        <v>-33.480118800000128</v>
      </c>
      <c r="G186" s="115">
        <f t="shared" si="92"/>
        <v>812076.34230599995</v>
      </c>
      <c r="H186" s="115">
        <f t="shared" si="93"/>
        <v>-24942.688506000093</v>
      </c>
      <c r="I186" s="97">
        <f t="shared" si="94"/>
        <v>1099.7921999999999</v>
      </c>
      <c r="J186" s="93">
        <f>C131</f>
        <v>1066</v>
      </c>
      <c r="K186" s="115">
        <f t="shared" si="88"/>
        <v>-25175.1889999999</v>
      </c>
      <c r="L186" s="97"/>
      <c r="M186" s="94"/>
    </row>
    <row r="187" spans="1:21">
      <c r="A187" s="60" t="s">
        <v>5943</v>
      </c>
      <c r="B187" s="60" t="s">
        <v>4357</v>
      </c>
      <c r="C187" s="60">
        <v>14699</v>
      </c>
      <c r="D187" s="60">
        <v>66</v>
      </c>
      <c r="E187" s="60">
        <f t="shared" si="91"/>
        <v>14753.618544199999</v>
      </c>
      <c r="F187" s="60">
        <f t="shared" si="85"/>
        <v>-13697.063304199999</v>
      </c>
      <c r="G187" s="49">
        <f t="shared" si="92"/>
        <v>973738.82391719997</v>
      </c>
      <c r="H187" s="49">
        <f t="shared" si="93"/>
        <v>-904006.17807719996</v>
      </c>
      <c r="I187" s="60">
        <f t="shared" si="94"/>
        <v>14885.677299999999</v>
      </c>
      <c r="J187" s="335">
        <f>C133</f>
        <v>14700</v>
      </c>
      <c r="K187" s="49">
        <f t="shared" si="88"/>
        <v>-12254.701799999959</v>
      </c>
      <c r="L187" s="97"/>
      <c r="M187" s="94"/>
      <c r="N187" s="94"/>
      <c r="O187" s="94"/>
    </row>
    <row r="188" spans="1:21">
      <c r="A188" s="289" t="s">
        <v>5972</v>
      </c>
      <c r="B188" s="289" t="s">
        <v>4219</v>
      </c>
      <c r="C188" s="289">
        <v>1066</v>
      </c>
      <c r="D188" s="289">
        <v>34738</v>
      </c>
      <c r="E188" s="20">
        <f t="shared" si="91"/>
        <v>1069.9610427999999</v>
      </c>
      <c r="F188" s="20">
        <f t="shared" si="85"/>
        <v>-13.405802799999947</v>
      </c>
      <c r="G188" s="115">
        <f t="shared" si="92"/>
        <v>37168306.704786398</v>
      </c>
      <c r="H188" s="115">
        <f t="shared" si="93"/>
        <v>-465690.77766639815</v>
      </c>
      <c r="I188" s="20">
        <f t="shared" si="94"/>
        <v>1079.5382</v>
      </c>
      <c r="J188" s="336">
        <f>C131</f>
        <v>1066</v>
      </c>
      <c r="K188" s="115">
        <f t="shared" si="88"/>
        <v>-470289.99159999861</v>
      </c>
      <c r="L188" s="97"/>
      <c r="N188" s="94"/>
      <c r="O188" s="94" t="s">
        <v>25</v>
      </c>
    </row>
    <row r="189" spans="1:21">
      <c r="A189" s="289"/>
      <c r="B189" s="289"/>
      <c r="C189" s="289"/>
      <c r="D189" s="289"/>
      <c r="E189" s="20"/>
      <c r="F189" s="20"/>
      <c r="G189" s="115"/>
      <c r="H189" s="115"/>
      <c r="I189" s="20"/>
      <c r="J189" s="336"/>
      <c r="K189" s="115">
        <f t="shared" si="88"/>
        <v>0</v>
      </c>
      <c r="L189" s="97"/>
      <c r="N189" s="94"/>
      <c r="O189" s="94"/>
    </row>
    <row r="190" spans="1:21">
      <c r="A190" s="289"/>
      <c r="B190" s="289" t="s">
        <v>25</v>
      </c>
      <c r="C190" s="289"/>
      <c r="D190" s="289"/>
      <c r="E190" s="97">
        <f t="shared" si="91"/>
        <v>0</v>
      </c>
      <c r="F190" s="97">
        <f>$E$192-E190</f>
        <v>1056.5552399999999</v>
      </c>
      <c r="G190" s="115">
        <f t="shared" si="92"/>
        <v>0</v>
      </c>
      <c r="H190" s="115">
        <f t="shared" si="93"/>
        <v>0</v>
      </c>
      <c r="I190" s="97">
        <f t="shared" si="94"/>
        <v>0</v>
      </c>
      <c r="J190" s="97"/>
      <c r="K190" s="97">
        <f t="shared" si="88"/>
        <v>0</v>
      </c>
      <c r="L190" s="97"/>
      <c r="N190" s="94"/>
      <c r="O190" s="94" t="s">
        <v>25</v>
      </c>
    </row>
    <row r="191" spans="1:21">
      <c r="A191" s="289"/>
      <c r="B191" s="289"/>
      <c r="C191" s="289"/>
      <c r="D191" s="289"/>
      <c r="E191" s="97"/>
      <c r="F191" s="97"/>
      <c r="G191" s="97"/>
      <c r="H191" s="97"/>
      <c r="I191" s="97"/>
      <c r="J191" s="97"/>
      <c r="K191" s="97">
        <f t="shared" si="88"/>
        <v>0</v>
      </c>
      <c r="L191" s="97"/>
      <c r="N191" s="94"/>
      <c r="O191" s="94"/>
    </row>
    <row r="192" spans="1:21">
      <c r="A192" s="97"/>
      <c r="B192" s="97" t="s">
        <v>25</v>
      </c>
      <c r="C192" s="93">
        <f>C131</f>
        <v>1066</v>
      </c>
      <c r="D192" s="97"/>
      <c r="E192" s="97">
        <f>C192*0.99114</f>
        <v>1056.5552399999999</v>
      </c>
      <c r="F192" s="97">
        <f>(E192-E182)*100/E182</f>
        <v>-8.1462629955423154</v>
      </c>
      <c r="G192" s="97"/>
      <c r="H192" s="97"/>
      <c r="I192" s="97"/>
      <c r="J192" s="97"/>
      <c r="K192" s="97">
        <f t="shared" si="88"/>
        <v>0</v>
      </c>
      <c r="L192" s="97"/>
      <c r="N192" s="94"/>
      <c r="O192" s="94"/>
      <c r="P192" t="s">
        <v>25</v>
      </c>
      <c r="U192" t="s">
        <v>25</v>
      </c>
    </row>
    <row r="193" spans="1:17">
      <c r="A193" s="94"/>
      <c r="B193" s="94"/>
      <c r="C193" s="94">
        <v>27200</v>
      </c>
      <c r="D193" s="94"/>
      <c r="E193" s="94"/>
      <c r="F193" s="94"/>
    </row>
    <row r="194" spans="1:17">
      <c r="C194" s="94"/>
      <c r="D194" s="94"/>
      <c r="E194" s="94"/>
      <c r="F194" s="94"/>
    </row>
    <row r="195" spans="1:17">
      <c r="C195" s="94"/>
      <c r="D195" s="94"/>
      <c r="E195" s="94"/>
      <c r="F195" s="94"/>
    </row>
    <row r="196" spans="1:17">
      <c r="C196" s="94"/>
      <c r="D196" s="94"/>
      <c r="E196" s="94"/>
      <c r="F196" s="94"/>
      <c r="J196" t="s">
        <v>25</v>
      </c>
    </row>
    <row r="197" spans="1:17">
      <c r="A197" s="94"/>
      <c r="B197" s="94"/>
      <c r="C197" s="94"/>
      <c r="D197" s="94"/>
      <c r="E197" s="94"/>
      <c r="F197" s="94"/>
    </row>
    <row r="198" spans="1:17">
      <c r="A198" s="94"/>
      <c r="B198" s="94"/>
      <c r="C198" s="94"/>
      <c r="D198" s="94"/>
      <c r="E198" s="94"/>
      <c r="F198" s="94"/>
    </row>
    <row r="199" spans="1:17">
      <c r="A199" s="97" t="s">
        <v>5926</v>
      </c>
      <c r="B199" s="97"/>
      <c r="C199" s="94"/>
      <c r="D199" s="94"/>
      <c r="E199" s="94"/>
      <c r="F199" s="94"/>
      <c r="Q199" t="s">
        <v>25</v>
      </c>
    </row>
    <row r="200" spans="1:17">
      <c r="A200" s="97" t="s">
        <v>5924</v>
      </c>
      <c r="B200" s="115">
        <v>214000</v>
      </c>
      <c r="C200" s="94"/>
      <c r="D200" s="94"/>
      <c r="E200" s="94"/>
      <c r="F200" s="94"/>
      <c r="I200" t="s">
        <v>25</v>
      </c>
    </row>
    <row r="201" spans="1:17">
      <c r="A201" s="97" t="s">
        <v>5939</v>
      </c>
      <c r="B201" s="115">
        <v>301410</v>
      </c>
      <c r="C201" s="94"/>
      <c r="D201" s="94"/>
      <c r="E201" s="94"/>
      <c r="F201" s="94"/>
    </row>
    <row r="202" spans="1:17">
      <c r="A202" s="97"/>
      <c r="B202" s="115"/>
      <c r="C202" s="94"/>
      <c r="D202" s="94"/>
      <c r="E202" s="94"/>
      <c r="F202" s="94"/>
    </row>
    <row r="203" spans="1:17">
      <c r="A203" s="97"/>
      <c r="B203" s="115"/>
      <c r="C203" s="94"/>
      <c r="D203" s="94"/>
      <c r="E203" s="94"/>
      <c r="F203" s="94"/>
    </row>
    <row r="204" spans="1:17">
      <c r="A204" s="97"/>
      <c r="B204" s="115"/>
      <c r="C204" s="94"/>
      <c r="D204" s="94"/>
      <c r="E204" s="94"/>
      <c r="F204" s="94"/>
    </row>
    <row r="205" spans="1:17">
      <c r="A205" s="97"/>
      <c r="B205" s="115"/>
      <c r="C205" s="94"/>
      <c r="D205" s="94"/>
      <c r="E205" s="94"/>
      <c r="F205" s="94"/>
    </row>
    <row r="206" spans="1:17">
      <c r="A206" s="97"/>
      <c r="B206" s="115"/>
      <c r="C206" s="94"/>
      <c r="D206" s="94"/>
      <c r="E206" s="94"/>
      <c r="F206" s="94"/>
    </row>
    <row r="207" spans="1:17">
      <c r="A207" s="97"/>
      <c r="B207" s="115"/>
      <c r="C207" s="94"/>
      <c r="D207" s="94"/>
      <c r="E207" s="94"/>
      <c r="F207" s="94"/>
    </row>
    <row r="208" spans="1:17">
      <c r="A208" s="97"/>
      <c r="B208" s="115"/>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row>
    <row r="214" spans="1:6">
      <c r="A214" s="94"/>
    </row>
    <row r="215" spans="1:6">
      <c r="A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c r="C247" t="s">
        <v>25</v>
      </c>
    </row>
    <row r="248" spans="1:3">
      <c r="A248" s="94"/>
    </row>
    <row r="249" spans="1:3">
      <c r="A249" s="94"/>
    </row>
    <row r="250" spans="1:3">
      <c r="A250" s="94"/>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5915</v>
      </c>
      <c r="S1" t="s">
        <v>5916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5856</v>
      </c>
      <c r="I31" s="11">
        <v>275860</v>
      </c>
      <c r="J31" s="11" t="s">
        <v>476</v>
      </c>
    </row>
    <row r="32" spans="2:21">
      <c r="G32" s="11">
        <f t="shared" si="5"/>
        <v>90860</v>
      </c>
      <c r="H32" s="57" t="s">
        <v>780</v>
      </c>
      <c r="I32" s="11">
        <v>185000</v>
      </c>
      <c r="J32" s="11" t="s">
        <v>556</v>
      </c>
    </row>
    <row r="33" spans="6:23">
      <c r="G33" s="11">
        <f t="shared" si="5"/>
        <v>0</v>
      </c>
      <c r="H33" s="11" t="s">
        <v>5856</v>
      </c>
      <c r="I33" s="11">
        <v>275860</v>
      </c>
      <c r="J33" s="11" t="s">
        <v>563</v>
      </c>
    </row>
    <row r="34" spans="6:23">
      <c r="G34" s="11">
        <f t="shared" si="5"/>
        <v>0</v>
      </c>
      <c r="H34" s="11" t="s">
        <v>5856</v>
      </c>
      <c r="I34" s="11">
        <v>275860</v>
      </c>
      <c r="J34" s="11" t="s">
        <v>564</v>
      </c>
    </row>
    <row r="35" spans="6:23">
      <c r="G35" s="11">
        <f t="shared" si="5"/>
        <v>0</v>
      </c>
      <c r="H35" s="11" t="s">
        <v>5856</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5858</v>
      </c>
      <c r="I48" s="97">
        <v>275860</v>
      </c>
      <c r="J48" s="97" t="s">
        <v>5857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7" t="s">
        <v>1073</v>
      </c>
      <c r="R21" s="337"/>
      <c r="S21" s="337"/>
      <c r="T21" s="337"/>
      <c r="U21" s="94"/>
      <c r="V21" s="94"/>
      <c r="W21" s="41" t="s">
        <v>4972</v>
      </c>
      <c r="X21" s="41">
        <v>9035210431</v>
      </c>
      <c r="Y21" s="41">
        <v>50</v>
      </c>
      <c r="Z21" s="41" t="s">
        <v>5235</v>
      </c>
      <c r="AA21" t="s">
        <v>4990</v>
      </c>
    </row>
    <row r="22" spans="5:35">
      <c r="O22" s="97"/>
      <c r="P22" s="97"/>
      <c r="Q22" s="337"/>
      <c r="R22" s="337"/>
      <c r="S22" s="337"/>
      <c r="T22" s="337"/>
      <c r="U22" s="94"/>
      <c r="V22" s="94"/>
      <c r="W22" s="41" t="s">
        <v>5059</v>
      </c>
      <c r="X22" s="41">
        <v>9909620343</v>
      </c>
      <c r="Y22" s="41">
        <v>200</v>
      </c>
      <c r="Z22" s="41" t="s">
        <v>5236</v>
      </c>
      <c r="AA22" t="s">
        <v>5239</v>
      </c>
      <c r="AB22" s="41" t="s">
        <v>5247</v>
      </c>
    </row>
    <row r="23" spans="5:35" ht="15.75">
      <c r="O23" s="176"/>
      <c r="P23" s="97" t="s">
        <v>4069</v>
      </c>
      <c r="Q23" s="338" t="s">
        <v>1074</v>
      </c>
      <c r="R23" s="339" t="s">
        <v>1075</v>
      </c>
      <c r="S23" s="338" t="s">
        <v>1076</v>
      </c>
      <c r="T23" s="340" t="s">
        <v>1077</v>
      </c>
      <c r="W23" s="41" t="s">
        <v>5060</v>
      </c>
      <c r="X23" s="41">
        <v>9378807702</v>
      </c>
      <c r="Y23" s="41">
        <v>0</v>
      </c>
      <c r="Z23" s="41">
        <v>0</v>
      </c>
      <c r="AD23" t="s">
        <v>25</v>
      </c>
    </row>
    <row r="24" spans="5:35">
      <c r="O24" s="97"/>
      <c r="P24" s="97"/>
      <c r="Q24" s="338"/>
      <c r="R24" s="339"/>
      <c r="S24" s="338"/>
      <c r="T24" s="340"/>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5862</v>
      </c>
    </row>
    <row r="30" spans="5:35">
      <c r="R30" s="94"/>
      <c r="S30" s="94"/>
      <c r="T30" s="94"/>
      <c r="U30" s="94"/>
      <c r="V30" s="94"/>
      <c r="W30" s="41" t="s">
        <v>5861</v>
      </c>
      <c r="X30" s="41">
        <v>9944625742</v>
      </c>
      <c r="Y30" s="41">
        <v>120</v>
      </c>
      <c r="Z30" s="41" t="s">
        <v>4491</v>
      </c>
      <c r="AA30" s="94" t="s">
        <v>5847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2021-04-12T14:55:32Z</dcterms:modified>
</cp:coreProperties>
</file>