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M154" i="18" l="1"/>
  <c r="L154" i="18"/>
  <c r="I134" i="18"/>
  <c r="G134" i="18"/>
  <c r="P29" i="18"/>
  <c r="P28" i="18"/>
  <c r="W495" i="18" l="1"/>
  <c r="W494"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3" i="18"/>
  <c r="W492" i="18"/>
  <c r="R149" i="60" l="1"/>
  <c r="S150" i="60"/>
  <c r="R145" i="60" l="1"/>
  <c r="S149" i="60"/>
  <c r="R144" i="60" l="1"/>
  <c r="S145" i="60"/>
  <c r="I30"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S142" i="60" l="1"/>
  <c r="R141" i="60"/>
  <c r="AA50" i="60"/>
  <c r="D44" i="63"/>
  <c r="D45" i="63"/>
  <c r="D43" i="63"/>
  <c r="R140" i="60" l="1"/>
  <c r="S141" i="60"/>
  <c r="D54" i="63"/>
  <c r="B58" i="63" s="1"/>
  <c r="J30" i="63"/>
  <c r="W491"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R135" i="60" l="1"/>
  <c r="S136" i="60"/>
  <c r="W489" i="18"/>
  <c r="W488" i="18"/>
  <c r="W487" i="18"/>
  <c r="G28" i="63"/>
  <c r="H28" i="63"/>
  <c r="J28" i="63" l="1"/>
  <c r="K28" i="63" s="1"/>
  <c r="R134" i="60"/>
  <c r="S135" i="60"/>
  <c r="W486" i="18"/>
  <c r="R133" i="60" l="1"/>
  <c r="S134" i="60"/>
  <c r="I27" i="63"/>
  <c r="I26" i="63"/>
  <c r="H27" i="63"/>
  <c r="N28" i="63" s="1"/>
  <c r="H26" i="63"/>
  <c r="I35" i="63"/>
  <c r="I36" i="63"/>
  <c r="I37" i="63"/>
  <c r="I38" i="63"/>
  <c r="I34" i="63"/>
  <c r="K30" i="63"/>
  <c r="I25"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48"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49" i="18"/>
  <c r="W393" i="18"/>
  <c r="R115" i="60" l="1"/>
  <c r="S116" i="60"/>
  <c r="S117" i="18"/>
  <c r="S115" i="60" l="1"/>
  <c r="R114" i="60"/>
  <c r="D2" i="60"/>
  <c r="I8" i="60"/>
  <c r="P8" i="60" s="1"/>
  <c r="I6" i="60"/>
  <c r="P6" i="60" s="1"/>
  <c r="J3" i="60"/>
  <c r="J4" i="60"/>
  <c r="J5" i="60"/>
  <c r="J2" i="60"/>
  <c r="F2" i="60"/>
  <c r="R113" i="60" l="1"/>
  <c r="S114" i="60"/>
  <c r="W472" i="18"/>
  <c r="T3" i="64"/>
  <c r="T4" i="64"/>
  <c r="T5" i="64"/>
  <c r="T6" i="64"/>
  <c r="T7" i="64"/>
  <c r="T2" i="64"/>
  <c r="R112" i="60" l="1"/>
  <c r="S113" i="60"/>
  <c r="H285"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4" i="63"/>
  <c r="H34" i="63"/>
  <c r="J34" i="63" s="1"/>
  <c r="K34"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52" i="60"/>
  <c r="S89" i="60" l="1"/>
  <c r="R88" i="60"/>
  <c r="W453" i="18"/>
  <c r="R87" i="60" l="1"/>
  <c r="S88" i="60"/>
  <c r="W452" i="18"/>
  <c r="R86" i="60" l="1"/>
  <c r="S87" i="60"/>
  <c r="H10" i="63"/>
  <c r="R85" i="60" l="1"/>
  <c r="S86" i="60"/>
  <c r="J10" i="63"/>
  <c r="K10" i="63" s="1"/>
  <c r="N11" i="63"/>
  <c r="F49" i="60"/>
  <c r="G49" i="60" s="1"/>
  <c r="R84" i="60" l="1"/>
  <c r="S85" i="60"/>
  <c r="G36" i="63"/>
  <c r="H36" i="63"/>
  <c r="J36" i="63" s="1"/>
  <c r="K36" i="63" s="1"/>
  <c r="G37" i="63"/>
  <c r="H37" i="63"/>
  <c r="J37" i="63" s="1"/>
  <c r="G38" i="63"/>
  <c r="H38" i="63"/>
  <c r="J38" i="63" s="1"/>
  <c r="K38" i="63" s="1"/>
  <c r="G35" i="63"/>
  <c r="H35" i="63"/>
  <c r="J35" i="63" s="1"/>
  <c r="K35" i="63" s="1"/>
  <c r="W451" i="18"/>
  <c r="R83" i="60" l="1"/>
  <c r="S84" i="60"/>
  <c r="K37" i="63"/>
  <c r="Q11" i="63"/>
  <c r="N38" i="63"/>
  <c r="N36" i="63"/>
  <c r="N37" i="63"/>
  <c r="N35"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S64" i="60" l="1"/>
  <c r="R63" i="60"/>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52"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2" i="18"/>
  <c r="L152" i="18"/>
  <c r="W352" i="18"/>
  <c r="AL214" i="18" l="1"/>
  <c r="AM214" i="18" s="1"/>
  <c r="AM215" i="18"/>
  <c r="AM451" i="18"/>
  <c r="AL450" i="18"/>
  <c r="W351" i="18"/>
  <c r="AL449" i="18" l="1"/>
  <c r="AM450" i="18"/>
  <c r="W350"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9" i="18"/>
  <c r="AL443" i="18" l="1"/>
  <c r="AM444" i="18"/>
  <c r="G106" i="18"/>
  <c r="G105" i="18"/>
  <c r="W348" i="18"/>
  <c r="J347" i="52"/>
  <c r="AM443" i="18" l="1"/>
  <c r="AL442" i="18"/>
  <c r="L146" i="18"/>
  <c r="M146" i="18"/>
  <c r="M145" i="18"/>
  <c r="L145"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35" i="18" s="1"/>
  <c r="W278" i="18"/>
  <c r="O177" i="52"/>
  <c r="J177" i="52"/>
  <c r="M105" i="18" l="1"/>
  <c r="G136"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2" i="18"/>
  <c r="L107" i="18" l="1"/>
  <c r="N107" i="18" s="1"/>
  <c r="L109" i="18"/>
  <c r="N109" i="18" s="1"/>
  <c r="L108" i="18"/>
  <c r="N108" i="18" s="1"/>
  <c r="M112" i="18"/>
  <c r="AM331" i="18"/>
  <c r="AL330" i="18"/>
  <c r="L104" i="18"/>
  <c r="W210" i="18"/>
  <c r="W209"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l="1"/>
  <c r="I135" i="18"/>
  <c r="I136" i="18"/>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V154" i="18" l="1"/>
  <c r="V155" i="18"/>
  <c r="V153"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3" i="18" l="1"/>
  <c r="X153" i="18"/>
  <c r="W155" i="18"/>
  <c r="X155" i="18"/>
  <c r="W154" i="18"/>
  <c r="X154" i="18"/>
  <c r="S69" i="18"/>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137" i="18" s="1"/>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59" i="18"/>
  <c r="I137" i="18"/>
  <c r="I138" i="18"/>
  <c r="G138" i="18"/>
  <c r="L21" i="18"/>
  <c r="G301" i="20"/>
  <c r="I302" i="20"/>
  <c r="K302" i="20"/>
  <c r="J302" i="20"/>
  <c r="AL70" i="18"/>
  <c r="AM71" i="18"/>
  <c r="W69" i="18" l="1"/>
  <c r="X69" i="18"/>
  <c r="S71" i="18"/>
  <c r="V70" i="18"/>
  <c r="X167" i="18"/>
  <c r="X165" i="18"/>
  <c r="X166"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50" i="18" s="1"/>
  <c r="V147" i="18"/>
  <c r="V148" i="18"/>
  <c r="X150" i="18" l="1"/>
  <c r="W150" i="18"/>
  <c r="X149" i="18"/>
  <c r="S151" i="18"/>
  <c r="W148" i="18"/>
  <c r="X148" i="18"/>
  <c r="W147" i="18"/>
  <c r="X147" i="18"/>
  <c r="S152" i="18" l="1"/>
  <c r="V152" i="18" s="1"/>
  <c r="V151" i="18"/>
  <c r="W151" i="18" l="1"/>
  <c r="X151" i="18"/>
  <c r="X152" i="18"/>
  <c r="W152" i="18"/>
</calcChain>
</file>

<file path=xl/sharedStrings.xml><?xml version="1.0" encoding="utf-8"?>
<sst xmlns="http://schemas.openxmlformats.org/spreadsheetml/2006/main" count="15660" uniqueCount="6568">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</sst>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zoomScale="85" zoomScaleNormal="85" workbookViewId="0">
      <selection activeCell="Q148" sqref="Q148"/>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6530</v>
      </c>
      <c r="G1" s="207" t="s">
        <v>6531</v>
      </c>
      <c r="H1" s="207" t="s">
        <v>6532</v>
      </c>
      <c r="I1" s="207" t="s">
        <v>5866</v>
      </c>
      <c r="J1" s="207" t="s">
        <v>5863</v>
      </c>
      <c r="K1" s="207" t="s">
        <v>4844</v>
      </c>
      <c r="L1" s="207" t="s">
        <v>4843</v>
      </c>
      <c r="M1" s="207" t="s">
        <v>4248</v>
      </c>
      <c r="N1" s="54" t="s">
        <v>4924</v>
      </c>
      <c r="Q1" t="s">
        <v>4837</v>
      </c>
      <c r="R1" t="s">
        <v>4840</v>
      </c>
      <c r="S1" t="s">
        <v>4841</v>
      </c>
    </row>
    <row r="2" spans="1:27">
      <c r="A2" s="320" t="s">
        <v>4836</v>
      </c>
      <c r="B2" s="320">
        <v>1114343604</v>
      </c>
      <c r="C2" s="187">
        <v>950</v>
      </c>
      <c r="D2" s="187">
        <f>B2*C2/$Q$2</f>
        <v>14.703144775</v>
      </c>
      <c r="E2" s="320">
        <v>2080</v>
      </c>
      <c r="F2" s="320">
        <f>B2*E2/$Q$2</f>
        <v>32.19214856</v>
      </c>
      <c r="G2" s="320"/>
      <c r="H2" s="320"/>
      <c r="I2" s="219">
        <v>2800</v>
      </c>
      <c r="J2" s="219">
        <f>B2*I2/$Q$2</f>
        <v>43.335584599999997</v>
      </c>
      <c r="K2" s="194"/>
      <c r="L2" s="194"/>
      <c r="M2" s="194">
        <v>15259</v>
      </c>
      <c r="N2" s="194">
        <f>B2*M2/$Q$2</f>
        <v>236.16345907549999</v>
      </c>
      <c r="Q2">
        <v>72000000000</v>
      </c>
      <c r="R2">
        <v>27416800780</v>
      </c>
      <c r="S2">
        <v>40500000000</v>
      </c>
    </row>
    <row r="3" spans="1:27">
      <c r="A3" s="320" t="s">
        <v>4838</v>
      </c>
      <c r="B3" s="320">
        <v>5320000000</v>
      </c>
      <c r="C3" s="187">
        <v>80</v>
      </c>
      <c r="D3" s="187">
        <f>B3*C3/$Q$2</f>
        <v>5.9111111111111114</v>
      </c>
      <c r="E3" s="320">
        <v>170</v>
      </c>
      <c r="F3" s="320">
        <f>B3*E3/$Q$2</f>
        <v>12.561111111111112</v>
      </c>
      <c r="G3" s="320"/>
      <c r="H3" s="320"/>
      <c r="I3" s="219">
        <v>340</v>
      </c>
      <c r="J3" s="219">
        <f>B3*I3/$Q$2</f>
        <v>25.122222222222224</v>
      </c>
      <c r="K3" s="189"/>
      <c r="L3" s="189"/>
      <c r="M3" s="189">
        <v>3841</v>
      </c>
      <c r="N3" s="189">
        <f>B3*M3/$Q$2</f>
        <v>283.80722222222221</v>
      </c>
      <c r="R3">
        <f>R2/S2</f>
        <v>0.67695804395061732</v>
      </c>
    </row>
    <row r="4" spans="1:27">
      <c r="A4" s="320" t="s">
        <v>4839</v>
      </c>
      <c r="B4" s="320">
        <v>8000000</v>
      </c>
      <c r="C4" s="187">
        <v>42</v>
      </c>
      <c r="D4" s="187">
        <f>B4*C4/$Q$2</f>
        <v>4.6666666666666671E-3</v>
      </c>
      <c r="E4" s="320">
        <v>408</v>
      </c>
      <c r="F4" s="320">
        <f>B4*E4/$Q$2</f>
        <v>4.5333333333333337E-2</v>
      </c>
      <c r="G4" s="320"/>
      <c r="H4" s="320"/>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0" t="s">
        <v>4836</v>
      </c>
      <c r="B6" s="320">
        <v>1124128522</v>
      </c>
      <c r="C6" s="187">
        <f>C2</f>
        <v>950</v>
      </c>
      <c r="D6" s="187">
        <f t="shared" ref="D6:D14" si="0">B6*C6*$R$3/$Q$2</f>
        <v>10.040811849057048</v>
      </c>
      <c r="E6" s="320">
        <f>E2</f>
        <v>2080</v>
      </c>
      <c r="F6" s="320">
        <f t="shared" ref="F6:F14" si="1">B6*E6*$R$3/$Q$2</f>
        <v>21.984093311619645</v>
      </c>
      <c r="G6" s="320"/>
      <c r="H6" s="320"/>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20" t="s">
        <v>4842</v>
      </c>
      <c r="B7" s="320">
        <v>556303872</v>
      </c>
      <c r="C7" s="187">
        <v>70</v>
      </c>
      <c r="D7" s="187">
        <f t="shared" si="0"/>
        <v>0.36613342600262805</v>
      </c>
      <c r="E7" s="320">
        <v>1295</v>
      </c>
      <c r="F7" s="320">
        <f t="shared" si="1"/>
        <v>6.7734683810486196</v>
      </c>
      <c r="G7" s="320"/>
      <c r="H7" s="320"/>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20" t="s">
        <v>4839</v>
      </c>
      <c r="B8" s="320">
        <v>4374853691</v>
      </c>
      <c r="C8" s="187">
        <f>C4</f>
        <v>42</v>
      </c>
      <c r="D8" s="187">
        <f t="shared" si="0"/>
        <v>1.7275955650505408</v>
      </c>
      <c r="E8" s="320">
        <f>E4</f>
        <v>408</v>
      </c>
      <c r="F8" s="320">
        <f t="shared" si="1"/>
        <v>16.782356917633823</v>
      </c>
      <c r="G8" s="320"/>
      <c r="H8" s="320"/>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20" t="s">
        <v>4846</v>
      </c>
      <c r="B10" s="320">
        <v>2693179034</v>
      </c>
      <c r="C10" s="187">
        <v>20</v>
      </c>
      <c r="D10" s="187">
        <f t="shared" si="0"/>
        <v>0.50643589190707028</v>
      </c>
      <c r="E10" s="320">
        <v>608.1</v>
      </c>
      <c r="F10" s="320">
        <f t="shared" si="1"/>
        <v>15.398183293434476</v>
      </c>
      <c r="G10" s="320">
        <v>122</v>
      </c>
      <c r="H10" s="320">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20" t="s">
        <v>4847</v>
      </c>
      <c r="B11" s="320">
        <v>4953996962</v>
      </c>
      <c r="C11" s="187">
        <v>70</v>
      </c>
      <c r="D11" s="187">
        <f t="shared" si="0"/>
        <v>3.260491201656909</v>
      </c>
      <c r="E11" s="320">
        <v>505</v>
      </c>
      <c r="F11" s="320">
        <f t="shared" si="1"/>
        <v>23.522115097667701</v>
      </c>
      <c r="G11" s="320"/>
      <c r="H11" s="320"/>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20" t="s">
        <v>5502</v>
      </c>
      <c r="B12" s="320">
        <v>1636875595</v>
      </c>
      <c r="C12" s="187">
        <v>60</v>
      </c>
      <c r="D12" s="187">
        <f t="shared" si="0"/>
        <v>0.92341341748475247</v>
      </c>
      <c r="E12" s="320">
        <v>352</v>
      </c>
      <c r="F12" s="320">
        <f t="shared" si="1"/>
        <v>5.417358715910547</v>
      </c>
      <c r="G12" s="320">
        <v>110</v>
      </c>
      <c r="H12" s="320">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20" t="s">
        <v>4361</v>
      </c>
      <c r="B13" s="320">
        <v>813683684</v>
      </c>
      <c r="C13" s="187">
        <v>1100</v>
      </c>
      <c r="D13" s="187">
        <f t="shared" si="0"/>
        <v>8.4154539809262427</v>
      </c>
      <c r="E13" s="320">
        <v>2412</v>
      </c>
      <c r="F13" s="320">
        <f t="shared" si="1"/>
        <v>18.45279545635827</v>
      </c>
      <c r="G13" s="320"/>
      <c r="H13" s="320"/>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20" t="s">
        <v>4848</v>
      </c>
      <c r="B14" s="320">
        <v>236958025</v>
      </c>
      <c r="C14" s="187">
        <v>420</v>
      </c>
      <c r="D14" s="187">
        <f t="shared" si="0"/>
        <v>0.93572873976400861</v>
      </c>
      <c r="E14" s="320">
        <v>803</v>
      </c>
      <c r="F14" s="320">
        <f t="shared" si="1"/>
        <v>1.7890242334059496</v>
      </c>
      <c r="G14" s="320">
        <v>590</v>
      </c>
      <c r="H14" s="320">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21" t="s">
        <v>6502</v>
      </c>
      <c r="B16" s="320">
        <v>4113600000</v>
      </c>
      <c r="C16" s="187">
        <v>100</v>
      </c>
      <c r="D16" s="187">
        <f>B16*C16/$Q$2</f>
        <v>5.7133333333333329</v>
      </c>
      <c r="E16" s="320">
        <v>165</v>
      </c>
      <c r="F16" s="320">
        <f>B16*E16/$Q$2</f>
        <v>9.4269999999999996</v>
      </c>
      <c r="G16" s="320"/>
      <c r="H16" s="320"/>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1" t="s">
        <v>6503</v>
      </c>
      <c r="B18" s="320">
        <v>0.45</v>
      </c>
      <c r="C18" s="187">
        <v>550000000000</v>
      </c>
      <c r="D18" s="187">
        <f>B18*C18/$Q$2</f>
        <v>3.4375</v>
      </c>
      <c r="E18" s="320">
        <v>1460000000000</v>
      </c>
      <c r="F18" s="320">
        <f>B18*E18/$Q$2</f>
        <v>9.125</v>
      </c>
      <c r="G18" s="320"/>
      <c r="H18" s="320"/>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1" t="s">
        <v>6527</v>
      </c>
      <c r="B19" s="320">
        <v>1</v>
      </c>
      <c r="C19" s="187">
        <v>200000000000</v>
      </c>
      <c r="D19" s="187">
        <f>B19*C19/$Q$2</f>
        <v>2.7777777777777777</v>
      </c>
      <c r="E19" s="320">
        <v>400000000000</v>
      </c>
      <c r="F19" s="320">
        <f>B19*E19/$Q$2</f>
        <v>5.5555555555555554</v>
      </c>
      <c r="G19" s="320"/>
      <c r="H19" s="320"/>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1108</v>
      </c>
      <c r="N28" s="207">
        <f>M28/N25</f>
        <v>0.40079581075041348</v>
      </c>
    </row>
    <row r="30" spans="1:35">
      <c r="A30" s="94"/>
      <c r="B30" s="94"/>
      <c r="E30" s="94"/>
      <c r="F30" s="94"/>
      <c r="G30" s="94"/>
      <c r="H30" s="94"/>
      <c r="I30" s="94"/>
      <c r="J30" s="94"/>
      <c r="K30" s="94"/>
      <c r="L30" s="94"/>
      <c r="O30" t="s">
        <v>4914</v>
      </c>
    </row>
    <row r="31" spans="1:35" ht="18.75">
      <c r="A31" s="325" t="s">
        <v>6526</v>
      </c>
      <c r="B31" s="325" t="s">
        <v>4835</v>
      </c>
      <c r="C31" s="325" t="s">
        <v>6520</v>
      </c>
      <c r="D31" s="325" t="s">
        <v>5532</v>
      </c>
      <c r="E31" s="325" t="s">
        <v>6519</v>
      </c>
      <c r="F31" s="325" t="s">
        <v>6529</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23" t="s">
        <v>6518</v>
      </c>
      <c r="B32" s="333">
        <v>880639000</v>
      </c>
      <c r="C32" s="340">
        <v>110</v>
      </c>
      <c r="D32" s="340">
        <f t="shared" ref="D32:D38" si="9">B32*C32/$Q$2</f>
        <v>1.3454206944444445</v>
      </c>
      <c r="E32" s="340">
        <v>700</v>
      </c>
      <c r="F32" s="340">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4" t="s">
        <v>6521</v>
      </c>
      <c r="B33" s="334">
        <v>1175000000</v>
      </c>
      <c r="C33" s="341">
        <v>30</v>
      </c>
      <c r="D33" s="341">
        <f t="shared" si="9"/>
        <v>0.48958333333333331</v>
      </c>
      <c r="E33" s="341">
        <v>930</v>
      </c>
      <c r="F33" s="341">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6" t="s">
        <v>6522</v>
      </c>
      <c r="B34" s="335">
        <v>1120000000</v>
      </c>
      <c r="C34" s="342">
        <v>100</v>
      </c>
      <c r="D34" s="342">
        <f t="shared" si="9"/>
        <v>1.5555555555555556</v>
      </c>
      <c r="E34" s="342">
        <v>535</v>
      </c>
      <c r="F34" s="342">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7" t="s">
        <v>6523</v>
      </c>
      <c r="B35" s="336">
        <v>468000000</v>
      </c>
      <c r="C35" s="343">
        <v>180</v>
      </c>
      <c r="D35" s="343">
        <f t="shared" si="9"/>
        <v>1.17</v>
      </c>
      <c r="E35" s="343">
        <v>6500</v>
      </c>
      <c r="F35" s="343">
        <f t="shared" si="10"/>
        <v>42.25</v>
      </c>
      <c r="H35" s="94"/>
      <c r="I35" s="94"/>
      <c r="J35" s="94"/>
      <c r="K35" s="94"/>
      <c r="L35" s="94"/>
      <c r="O35" s="97" t="s">
        <v>4922</v>
      </c>
      <c r="P35" s="18">
        <v>2000000</v>
      </c>
      <c r="Q35" s="97">
        <v>6</v>
      </c>
      <c r="R35" s="97">
        <f t="shared" si="11"/>
        <v>737</v>
      </c>
      <c r="S35" s="97">
        <f t="shared" si="12"/>
        <v>1474000000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8" t="s">
        <v>6524</v>
      </c>
      <c r="B36" s="337">
        <v>393000000</v>
      </c>
      <c r="C36" s="344">
        <v>100</v>
      </c>
      <c r="D36" s="344">
        <f t="shared" si="9"/>
        <v>0.54583333333333328</v>
      </c>
      <c r="E36" s="344">
        <v>1700</v>
      </c>
      <c r="F36" s="344">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9" t="s">
        <v>6525</v>
      </c>
      <c r="B37" s="338">
        <v>4360000</v>
      </c>
      <c r="C37" s="345">
        <v>347</v>
      </c>
      <c r="D37" s="345">
        <f t="shared" si="9"/>
        <v>2.1012777777777776E-2</v>
      </c>
      <c r="E37" s="345">
        <v>23000</v>
      </c>
      <c r="F37" s="345">
        <f t="shared" si="10"/>
        <v>1.3927777777777777</v>
      </c>
      <c r="H37" s="94"/>
      <c r="I37" s="94"/>
      <c r="J37" s="94"/>
      <c r="K37" s="94"/>
      <c r="L37" s="94"/>
      <c r="O37" s="97" t="s">
        <v>4941</v>
      </c>
      <c r="P37" s="18">
        <v>200000</v>
      </c>
      <c r="Q37" s="97">
        <v>3</v>
      </c>
      <c r="R37" s="97">
        <f t="shared" si="11"/>
        <v>728</v>
      </c>
      <c r="S37" s="97">
        <f t="shared" si="12"/>
        <v>145600000</v>
      </c>
      <c r="T37" s="97"/>
      <c r="U37" s="94"/>
      <c r="V37" s="94"/>
      <c r="W37" s="207" t="s">
        <v>6492</v>
      </c>
      <c r="X37" s="18">
        <v>41483</v>
      </c>
      <c r="Y37" s="207">
        <v>1</v>
      </c>
      <c r="Z37" s="207">
        <f t="shared" si="13"/>
        <v>7</v>
      </c>
      <c r="AA37" s="18">
        <f t="shared" si="14"/>
        <v>290381</v>
      </c>
      <c r="AB37" s="207"/>
      <c r="AC37" s="18"/>
      <c r="AD37" s="207"/>
      <c r="AE37" s="207"/>
      <c r="AF37" s="207"/>
    </row>
    <row r="38" spans="1:33" ht="18.75">
      <c r="A38" s="330" t="s">
        <v>6528</v>
      </c>
      <c r="B38" s="339">
        <v>1</v>
      </c>
      <c r="C38" s="346">
        <v>80000000000</v>
      </c>
      <c r="D38" s="346">
        <f t="shared" si="9"/>
        <v>1.1111111111111112</v>
      </c>
      <c r="E38" s="346">
        <v>650000000000</v>
      </c>
      <c r="F38" s="346">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22"/>
      <c r="B39" s="322"/>
      <c r="C39" s="322"/>
      <c r="D39" s="322"/>
      <c r="E39" s="322"/>
      <c r="F39" s="322"/>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22"/>
      <c r="B40" s="322"/>
      <c r="C40" s="322"/>
      <c r="D40" s="332">
        <f>SUM(D32:D38)</f>
        <v>6.2385168055555553</v>
      </c>
      <c r="E40" s="322" t="s">
        <v>6</v>
      </c>
      <c r="F40" s="331">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5802</v>
      </c>
      <c r="B56" s="18">
        <f>B53*B54/B55</f>
        <v>600</v>
      </c>
      <c r="E56" s="94"/>
      <c r="F56" s="94"/>
      <c r="G56" s="94"/>
      <c r="O56" s="97" t="s">
        <v>5074</v>
      </c>
      <c r="P56" s="18">
        <v>100000</v>
      </c>
      <c r="Q56" s="97">
        <v>1</v>
      </c>
      <c r="R56" s="97">
        <f t="shared" si="11"/>
        <v>640</v>
      </c>
      <c r="S56" s="97">
        <f t="shared" si="12"/>
        <v>64000000</v>
      </c>
      <c r="T56" s="97"/>
      <c r="U56" s="94"/>
      <c r="V56" s="94"/>
    </row>
    <row r="57" spans="1:32">
      <c r="A57" s="120" t="s">
        <v>5803</v>
      </c>
      <c r="B57" s="120">
        <v>872000000</v>
      </c>
      <c r="E57" s="94"/>
      <c r="F57" s="94"/>
      <c r="G57" s="94"/>
      <c r="O57" s="97" t="s">
        <v>5077</v>
      </c>
      <c r="P57" s="18">
        <v>-1727718</v>
      </c>
      <c r="Q57" s="97">
        <v>2</v>
      </c>
      <c r="R57" s="97">
        <f t="shared" si="11"/>
        <v>639</v>
      </c>
      <c r="S57" s="97">
        <f t="shared" si="12"/>
        <v>-1104011802</v>
      </c>
      <c r="T57" s="97"/>
      <c r="U57" s="94"/>
      <c r="V57" s="94"/>
    </row>
    <row r="58" spans="1:32">
      <c r="A58" s="120" t="s">
        <v>5804</v>
      </c>
      <c r="B58" s="18">
        <v>750</v>
      </c>
      <c r="E58" s="94"/>
      <c r="F58" s="94"/>
      <c r="O58" s="97" t="s">
        <v>5081</v>
      </c>
      <c r="P58" s="18">
        <v>-1000000</v>
      </c>
      <c r="Q58" s="97">
        <v>0</v>
      </c>
      <c r="R58" s="97">
        <f t="shared" si="11"/>
        <v>637</v>
      </c>
      <c r="S58" s="97">
        <f t="shared" si="12"/>
        <v>-637000000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5827</v>
      </c>
      <c r="B73" s="94"/>
      <c r="E73" s="94"/>
      <c r="F73" s="94"/>
      <c r="K73" t="s">
        <v>25</v>
      </c>
      <c r="O73" s="97" t="s">
        <v>5234</v>
      </c>
      <c r="P73" s="18">
        <v>-1500000</v>
      </c>
      <c r="Q73" s="97">
        <v>15</v>
      </c>
      <c r="R73" s="97">
        <f t="shared" si="11"/>
        <v>526</v>
      </c>
      <c r="S73" s="97">
        <f t="shared" si="12"/>
        <v>-789000000</v>
      </c>
      <c r="T73" s="97"/>
    </row>
    <row r="74" spans="1:22">
      <c r="A74" s="94" t="s">
        <v>5819</v>
      </c>
      <c r="B74" s="94"/>
      <c r="E74" s="94"/>
      <c r="F74" s="94"/>
      <c r="O74" s="97" t="s">
        <v>5257</v>
      </c>
      <c r="P74" s="18">
        <v>-100000</v>
      </c>
      <c r="Q74" s="97">
        <v>5</v>
      </c>
      <c r="R74" s="97">
        <f t="shared" si="11"/>
        <v>511</v>
      </c>
      <c r="S74" s="97">
        <f t="shared" si="12"/>
        <v>-51100000</v>
      </c>
      <c r="T74" s="97"/>
    </row>
    <row r="75" spans="1:22">
      <c r="A75" s="94" t="s">
        <v>5820</v>
      </c>
      <c r="B75" s="94"/>
      <c r="E75" s="94"/>
      <c r="F75" s="94"/>
      <c r="O75" s="97" t="s">
        <v>5261</v>
      </c>
      <c r="P75" s="18">
        <v>1164690</v>
      </c>
      <c r="Q75" s="97">
        <v>4</v>
      </c>
      <c r="R75" s="97">
        <f t="shared" si="11"/>
        <v>506</v>
      </c>
      <c r="S75" s="97">
        <f t="shared" si="12"/>
        <v>589333140</v>
      </c>
      <c r="T75" s="97"/>
      <c r="U75" t="s">
        <v>25</v>
      </c>
    </row>
    <row r="76" spans="1:22">
      <c r="A76" t="s">
        <v>5828</v>
      </c>
      <c r="B76" s="94"/>
      <c r="E76" s="94"/>
      <c r="F76" s="94"/>
      <c r="O76" s="97" t="s">
        <v>5270</v>
      </c>
      <c r="P76" s="18">
        <v>1000000</v>
      </c>
      <c r="Q76" s="97">
        <v>4</v>
      </c>
      <c r="R76" s="97">
        <f t="shared" si="11"/>
        <v>502</v>
      </c>
      <c r="S76" s="97">
        <f t="shared" si="12"/>
        <v>502000000</v>
      </c>
      <c r="T76" s="97"/>
    </row>
    <row r="77" spans="1:22">
      <c r="A77" t="s">
        <v>5502</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5822</v>
      </c>
      <c r="B80" s="94"/>
      <c r="C80" s="94" t="s">
        <v>25</v>
      </c>
      <c r="E80" s="94"/>
      <c r="F80" s="94"/>
      <c r="O80" s="97" t="s">
        <v>5295</v>
      </c>
      <c r="P80" s="18">
        <v>-75616</v>
      </c>
      <c r="Q80" s="97">
        <v>2</v>
      </c>
      <c r="R80" s="97">
        <f t="shared" si="11"/>
        <v>490</v>
      </c>
      <c r="S80" s="97">
        <f t="shared" si="12"/>
        <v>-37051840</v>
      </c>
      <c r="T80" s="97" t="s">
        <v>5296</v>
      </c>
    </row>
    <row r="81" spans="1:23">
      <c r="A81" s="94" t="s">
        <v>5823</v>
      </c>
      <c r="B81" s="94"/>
      <c r="E81" s="94"/>
      <c r="F81" s="94"/>
      <c r="O81" s="97" t="s">
        <v>963</v>
      </c>
      <c r="P81" s="18">
        <v>-2424384</v>
      </c>
      <c r="Q81" s="97">
        <v>2</v>
      </c>
      <c r="R81" s="97">
        <f t="shared" si="11"/>
        <v>488</v>
      </c>
      <c r="S81" s="97">
        <f t="shared" si="12"/>
        <v>-1183099392</v>
      </c>
      <c r="T81" s="97"/>
      <c r="W81" t="s">
        <v>25</v>
      </c>
    </row>
    <row r="82" spans="1:23">
      <c r="A82" t="s">
        <v>5839</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5821</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5832</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5833</v>
      </c>
      <c r="B92" s="94"/>
      <c r="E92" s="94"/>
      <c r="F92" s="94"/>
      <c r="O92" s="97" t="s">
        <v>5411</v>
      </c>
      <c r="P92" s="18">
        <v>-1000000</v>
      </c>
      <c r="Q92" s="97">
        <v>25</v>
      </c>
      <c r="R92" s="97">
        <f t="shared" si="11"/>
        <v>426</v>
      </c>
      <c r="S92" s="97">
        <f t="shared" si="12"/>
        <v>-426000000</v>
      </c>
      <c r="T92" s="97"/>
    </row>
    <row r="93" spans="1:23">
      <c r="A93" s="94" t="s">
        <v>5834</v>
      </c>
      <c r="B93" s="94"/>
      <c r="E93" s="94"/>
      <c r="F93" s="94"/>
      <c r="O93" s="97" t="s">
        <v>5440</v>
      </c>
      <c r="P93" s="18">
        <v>300000</v>
      </c>
      <c r="Q93" s="97">
        <v>3</v>
      </c>
      <c r="R93" s="97">
        <f t="shared" si="11"/>
        <v>401</v>
      </c>
      <c r="S93" s="97">
        <f t="shared" si="12"/>
        <v>120300000</v>
      </c>
      <c r="T93" s="97"/>
    </row>
    <row r="94" spans="1:23">
      <c r="A94" s="94" t="s">
        <v>5835</v>
      </c>
      <c r="B94" s="94"/>
      <c r="E94" s="94"/>
      <c r="F94" s="94"/>
      <c r="O94" s="97" t="s">
        <v>5445</v>
      </c>
      <c r="P94" s="18">
        <v>-300000</v>
      </c>
      <c r="Q94" s="97">
        <v>9</v>
      </c>
      <c r="R94" s="97">
        <f t="shared" si="11"/>
        <v>398</v>
      </c>
      <c r="S94" s="97">
        <f t="shared" si="12"/>
        <v>-119400000</v>
      </c>
      <c r="T94" s="97"/>
    </row>
    <row r="95" spans="1:23">
      <c r="A95" s="94" t="s">
        <v>4483</v>
      </c>
      <c r="B95" s="94"/>
      <c r="E95" s="94"/>
      <c r="F95" s="94"/>
      <c r="O95" s="97" t="s">
        <v>5460</v>
      </c>
      <c r="P95" s="18">
        <v>1000000</v>
      </c>
      <c r="Q95" s="97">
        <v>24</v>
      </c>
      <c r="R95" s="97">
        <f t="shared" si="11"/>
        <v>389</v>
      </c>
      <c r="S95" s="97">
        <f t="shared" si="12"/>
        <v>389000000</v>
      </c>
      <c r="T95" s="97"/>
      <c r="W95" t="s">
        <v>25</v>
      </c>
    </row>
    <row r="96" spans="1:23">
      <c r="A96" s="94" t="s">
        <v>4559</v>
      </c>
      <c r="B96" s="94" t="s">
        <v>25</v>
      </c>
      <c r="E96" s="94"/>
      <c r="F96" s="94"/>
      <c r="O96" s="97" t="s">
        <v>5497</v>
      </c>
      <c r="P96" s="18">
        <v>-1380100</v>
      </c>
      <c r="Q96" s="97">
        <v>11</v>
      </c>
      <c r="R96" s="97">
        <f t="shared" si="11"/>
        <v>365</v>
      </c>
      <c r="S96" s="97">
        <f t="shared" si="12"/>
        <v>-503736500</v>
      </c>
      <c r="T96" s="97"/>
    </row>
    <row r="97" spans="1:28">
      <c r="A97" s="94" t="s">
        <v>4719</v>
      </c>
      <c r="B97" s="94"/>
      <c r="E97" s="94"/>
      <c r="F97" s="94"/>
      <c r="O97" s="97" t="s">
        <v>5511</v>
      </c>
      <c r="P97" s="18">
        <v>1280015</v>
      </c>
      <c r="Q97" s="97">
        <v>0</v>
      </c>
      <c r="R97" s="97">
        <f t="shared" ref="R97:R151" si="17">Q97+R98</f>
        <v>354</v>
      </c>
      <c r="S97" s="97">
        <f t="shared" ref="S97:S150" si="18">P97*R97</f>
        <v>453125310</v>
      </c>
      <c r="T97" s="97"/>
    </row>
    <row r="98" spans="1:28">
      <c r="A98" s="94" t="s">
        <v>4661</v>
      </c>
      <c r="B98" s="94"/>
      <c r="E98" s="94"/>
      <c r="F98" s="94"/>
      <c r="M98" t="s">
        <v>25</v>
      </c>
      <c r="O98" s="97" t="s">
        <v>5511</v>
      </c>
      <c r="P98" s="18">
        <v>300000</v>
      </c>
      <c r="Q98" s="97">
        <v>7</v>
      </c>
      <c r="R98" s="97">
        <f t="shared" si="17"/>
        <v>354</v>
      </c>
      <c r="S98" s="97">
        <f t="shared" si="18"/>
        <v>106200000</v>
      </c>
      <c r="T98" s="97"/>
    </row>
    <row r="99" spans="1:28">
      <c r="A99" s="94"/>
      <c r="B99" s="94"/>
      <c r="E99" s="94"/>
      <c r="F99" s="94"/>
      <c r="L99" s="112"/>
      <c r="O99" s="97" t="s">
        <v>5518</v>
      </c>
      <c r="P99" s="18">
        <v>3000000</v>
      </c>
      <c r="Q99" s="97">
        <v>3</v>
      </c>
      <c r="R99" s="97">
        <f t="shared" si="17"/>
        <v>347</v>
      </c>
      <c r="S99" s="97">
        <f t="shared" si="18"/>
        <v>1041000000</v>
      </c>
      <c r="T99" s="97"/>
      <c r="AB99" t="s">
        <v>25</v>
      </c>
    </row>
    <row r="100" spans="1:28">
      <c r="A100" s="94"/>
      <c r="B100" s="94"/>
      <c r="E100" s="94"/>
      <c r="F100" s="94"/>
      <c r="O100" s="97" t="s">
        <v>5537</v>
      </c>
      <c r="P100" s="18">
        <v>300000</v>
      </c>
      <c r="Q100" s="97">
        <v>8</v>
      </c>
      <c r="R100" s="97">
        <f t="shared" si="17"/>
        <v>344</v>
      </c>
      <c r="S100" s="97">
        <f t="shared" si="18"/>
        <v>103200000</v>
      </c>
      <c r="T100" s="97"/>
    </row>
    <row r="101" spans="1:28">
      <c r="B101" s="94"/>
      <c r="E101" s="94"/>
      <c r="F101" s="94"/>
      <c r="O101" s="97" t="s">
        <v>5558</v>
      </c>
      <c r="P101" s="18">
        <v>-3500000</v>
      </c>
      <c r="Q101" s="97">
        <v>6</v>
      </c>
      <c r="R101" s="97">
        <f t="shared" si="17"/>
        <v>336</v>
      </c>
      <c r="S101" s="97">
        <f t="shared" si="18"/>
        <v>-1176000000</v>
      </c>
      <c r="T101" s="97"/>
    </row>
    <row r="102" spans="1:28">
      <c r="A102" s="94" t="s">
        <v>5826</v>
      </c>
      <c r="E102" s="94"/>
      <c r="F102" s="94"/>
      <c r="O102" s="97" t="s">
        <v>5563</v>
      </c>
      <c r="P102" s="18">
        <v>-70000</v>
      </c>
      <c r="Q102" s="97">
        <v>1</v>
      </c>
      <c r="R102" s="97">
        <f t="shared" si="17"/>
        <v>330</v>
      </c>
      <c r="S102" s="97">
        <f t="shared" si="18"/>
        <v>-23100000</v>
      </c>
      <c r="T102" s="97"/>
    </row>
    <row r="103" spans="1:28">
      <c r="A103" s="94" t="s">
        <v>5824</v>
      </c>
      <c r="E103" s="94"/>
      <c r="F103" s="94"/>
      <c r="O103" s="97" t="s">
        <v>5567</v>
      </c>
      <c r="P103" s="18">
        <v>70085</v>
      </c>
      <c r="Q103" s="97">
        <v>7</v>
      </c>
      <c r="R103" s="97">
        <f t="shared" si="17"/>
        <v>329</v>
      </c>
      <c r="S103" s="97">
        <f t="shared" si="18"/>
        <v>23057965</v>
      </c>
      <c r="T103" s="97" t="s">
        <v>5568</v>
      </c>
    </row>
    <row r="104" spans="1:28">
      <c r="A104" s="94" t="s">
        <v>5825</v>
      </c>
      <c r="E104" s="94"/>
      <c r="F104" s="94"/>
      <c r="O104" s="97" t="s">
        <v>5574</v>
      </c>
      <c r="P104" s="18">
        <v>-1000000</v>
      </c>
      <c r="Q104" s="97">
        <v>31</v>
      </c>
      <c r="R104" s="97">
        <f t="shared" si="17"/>
        <v>322</v>
      </c>
      <c r="S104" s="97">
        <f t="shared" si="18"/>
        <v>-322000000</v>
      </c>
      <c r="T104" s="97"/>
    </row>
    <row r="105" spans="1:28">
      <c r="A105" s="94" t="s">
        <v>5836</v>
      </c>
      <c r="E105" s="94"/>
      <c r="F105" s="94"/>
      <c r="O105" s="97" t="s">
        <v>5603</v>
      </c>
      <c r="P105" s="18">
        <v>6000000</v>
      </c>
      <c r="Q105" s="97">
        <v>1</v>
      </c>
      <c r="R105" s="97">
        <f t="shared" si="17"/>
        <v>291</v>
      </c>
      <c r="S105" s="97">
        <f t="shared" si="18"/>
        <v>1746000000</v>
      </c>
      <c r="T105" s="97"/>
      <c r="U105" t="s">
        <v>25</v>
      </c>
    </row>
    <row r="106" spans="1:28">
      <c r="A106" s="94" t="s">
        <v>5837</v>
      </c>
      <c r="E106" s="94"/>
      <c r="F106" s="94"/>
      <c r="O106" s="97" t="s">
        <v>5604</v>
      </c>
      <c r="P106" s="18">
        <v>6000000</v>
      </c>
      <c r="Q106" s="97">
        <v>11</v>
      </c>
      <c r="R106" s="97">
        <f t="shared" si="17"/>
        <v>290</v>
      </c>
      <c r="S106" s="97">
        <f t="shared" si="18"/>
        <v>1740000000</v>
      </c>
      <c r="T106" s="97"/>
    </row>
    <row r="107" spans="1:28">
      <c r="A107" s="94" t="s">
        <v>5838</v>
      </c>
      <c r="O107" s="97" t="s">
        <v>5619</v>
      </c>
      <c r="P107" s="18">
        <v>48000000</v>
      </c>
      <c r="Q107" s="97">
        <v>8</v>
      </c>
      <c r="R107" s="97">
        <f t="shared" si="17"/>
        <v>279</v>
      </c>
      <c r="S107" s="97">
        <f t="shared" si="18"/>
        <v>13392000000</v>
      </c>
      <c r="T107" s="97"/>
    </row>
    <row r="108" spans="1:28">
      <c r="A108" s="94"/>
      <c r="O108" s="97" t="s">
        <v>5636</v>
      </c>
      <c r="P108" s="18">
        <v>-400000</v>
      </c>
      <c r="Q108" s="97">
        <v>23</v>
      </c>
      <c r="R108" s="97">
        <f t="shared" si="17"/>
        <v>271</v>
      </c>
      <c r="S108" s="97">
        <f t="shared" si="18"/>
        <v>-108400000</v>
      </c>
      <c r="T108" s="97"/>
    </row>
    <row r="109" spans="1:28">
      <c r="A109" s="94" t="s">
        <v>5829</v>
      </c>
      <c r="O109" s="97" t="s">
        <v>5673</v>
      </c>
      <c r="P109" s="18">
        <v>500000</v>
      </c>
      <c r="Q109" s="97">
        <v>4</v>
      </c>
      <c r="R109" s="97">
        <f t="shared" si="17"/>
        <v>248</v>
      </c>
      <c r="S109" s="97">
        <f t="shared" si="18"/>
        <v>124000000</v>
      </c>
      <c r="T109" s="97"/>
    </row>
    <row r="110" spans="1:28">
      <c r="A110" t="s">
        <v>5830</v>
      </c>
      <c r="O110" s="97" t="s">
        <v>5677</v>
      </c>
      <c r="P110" s="18">
        <v>-500000</v>
      </c>
      <c r="Q110" s="97">
        <v>48</v>
      </c>
      <c r="R110" s="97">
        <f t="shared" si="17"/>
        <v>244</v>
      </c>
      <c r="S110" s="97">
        <f t="shared" si="18"/>
        <v>-122000000</v>
      </c>
      <c r="T110" s="97"/>
      <c r="V110" t="s">
        <v>25</v>
      </c>
    </row>
    <row r="111" spans="1:28">
      <c r="A111" s="94" t="s">
        <v>5831</v>
      </c>
      <c r="O111" s="97" t="s">
        <v>5736</v>
      </c>
      <c r="P111" s="18">
        <v>2000000</v>
      </c>
      <c r="Q111" s="97">
        <v>11</v>
      </c>
      <c r="R111" s="97">
        <f t="shared" si="17"/>
        <v>196</v>
      </c>
      <c r="S111" s="97">
        <f t="shared" si="18"/>
        <v>392000000</v>
      </c>
      <c r="T111" s="97"/>
    </row>
    <row r="112" spans="1:28">
      <c r="A112" s="94"/>
      <c r="O112" s="97" t="s">
        <v>5750</v>
      </c>
      <c r="P112" s="18">
        <v>-2000000</v>
      </c>
      <c r="Q112" s="97">
        <v>1</v>
      </c>
      <c r="R112" s="97">
        <f t="shared" si="17"/>
        <v>185</v>
      </c>
      <c r="S112" s="97">
        <f t="shared" si="18"/>
        <v>-370000000</v>
      </c>
      <c r="T112" s="97"/>
      <c r="V112" t="s">
        <v>25</v>
      </c>
    </row>
    <row r="113" spans="1:25">
      <c r="O113" s="97" t="s">
        <v>5752</v>
      </c>
      <c r="P113" s="18">
        <v>-42203</v>
      </c>
      <c r="Q113" s="97">
        <v>2</v>
      </c>
      <c r="R113" s="97">
        <f t="shared" si="17"/>
        <v>184</v>
      </c>
      <c r="S113" s="97">
        <f t="shared" si="18"/>
        <v>-7765352</v>
      </c>
      <c r="T113" s="97" t="s">
        <v>5757</v>
      </c>
    </row>
    <row r="114" spans="1:25">
      <c r="A114" s="94"/>
      <c r="O114" s="97" t="s">
        <v>5760</v>
      </c>
      <c r="P114" s="18">
        <v>-365000</v>
      </c>
      <c r="Q114" s="97">
        <v>5</v>
      </c>
      <c r="R114" s="97">
        <f t="shared" si="17"/>
        <v>182</v>
      </c>
      <c r="S114" s="97">
        <f t="shared" si="18"/>
        <v>-66430000</v>
      </c>
      <c r="T114" s="97" t="s">
        <v>5761</v>
      </c>
    </row>
    <row r="115" spans="1:25">
      <c r="A115" s="94"/>
      <c r="O115" s="97" t="s">
        <v>5767</v>
      </c>
      <c r="P115" s="18">
        <v>12000000</v>
      </c>
      <c r="Q115" s="97">
        <v>9</v>
      </c>
      <c r="R115" s="97">
        <f t="shared" si="17"/>
        <v>177</v>
      </c>
      <c r="S115" s="97">
        <f t="shared" si="18"/>
        <v>2124000000</v>
      </c>
      <c r="T115" s="97" t="s">
        <v>5768</v>
      </c>
      <c r="Y115" t="s">
        <v>25</v>
      </c>
    </row>
    <row r="116" spans="1:25">
      <c r="M116" t="s">
        <v>25</v>
      </c>
      <c r="O116" s="97" t="s">
        <v>5781</v>
      </c>
      <c r="P116" s="18">
        <v>-4000000</v>
      </c>
      <c r="Q116" s="97">
        <v>1</v>
      </c>
      <c r="R116" s="97">
        <f t="shared" si="17"/>
        <v>168</v>
      </c>
      <c r="S116" s="97">
        <f t="shared" si="18"/>
        <v>-672000000</v>
      </c>
      <c r="T116" s="97"/>
    </row>
    <row r="117" spans="1:25">
      <c r="A117" s="94"/>
      <c r="O117" s="97" t="s">
        <v>5785</v>
      </c>
      <c r="P117" s="18">
        <v>-5000000</v>
      </c>
      <c r="Q117" s="97">
        <v>2</v>
      </c>
      <c r="R117" s="97">
        <f>Q117+R118</f>
        <v>167</v>
      </c>
      <c r="S117" s="97">
        <f t="shared" si="18"/>
        <v>-835000000</v>
      </c>
      <c r="T117" s="97"/>
    </row>
    <row r="118" spans="1:25">
      <c r="A118" s="94"/>
      <c r="O118" s="97" t="s">
        <v>5783</v>
      </c>
      <c r="P118" s="18">
        <v>-2500000</v>
      </c>
      <c r="Q118" s="97">
        <v>1</v>
      </c>
      <c r="R118" s="97">
        <f t="shared" si="17"/>
        <v>165</v>
      </c>
      <c r="S118" s="97">
        <f t="shared" si="18"/>
        <v>-412500000</v>
      </c>
      <c r="T118" s="97"/>
    </row>
    <row r="119" spans="1:25">
      <c r="O119" s="97" t="s">
        <v>5784</v>
      </c>
      <c r="P119" s="18">
        <v>-500000</v>
      </c>
      <c r="Q119" s="97">
        <v>17</v>
      </c>
      <c r="R119" s="97">
        <f t="shared" si="17"/>
        <v>164</v>
      </c>
      <c r="S119" s="97">
        <f t="shared" si="18"/>
        <v>-82000000</v>
      </c>
      <c r="T119" s="97"/>
    </row>
    <row r="120" spans="1:25">
      <c r="O120" s="97" t="s">
        <v>5786</v>
      </c>
      <c r="P120" s="18">
        <v>-192797</v>
      </c>
      <c r="Q120" s="97">
        <v>15</v>
      </c>
      <c r="R120" s="97">
        <f t="shared" si="17"/>
        <v>147</v>
      </c>
      <c r="S120" s="97">
        <f t="shared" si="18"/>
        <v>-28341159</v>
      </c>
      <c r="T120" s="97"/>
    </row>
    <row r="121" spans="1:25">
      <c r="O121" s="97" t="s">
        <v>5791</v>
      </c>
      <c r="P121" s="18">
        <v>2000000</v>
      </c>
      <c r="Q121" s="97">
        <v>12</v>
      </c>
      <c r="R121" s="97">
        <f t="shared" si="17"/>
        <v>132</v>
      </c>
      <c r="S121" s="97">
        <f t="shared" si="18"/>
        <v>264000000</v>
      </c>
      <c r="T121" s="97"/>
    </row>
    <row r="122" spans="1:25">
      <c r="N122" t="s">
        <v>25</v>
      </c>
      <c r="O122" s="97" t="s">
        <v>5798</v>
      </c>
      <c r="P122" s="18">
        <v>-2000000</v>
      </c>
      <c r="Q122" s="97">
        <v>0</v>
      </c>
      <c r="R122" s="97">
        <f t="shared" si="17"/>
        <v>120</v>
      </c>
      <c r="S122" s="97">
        <f t="shared" si="18"/>
        <v>-240000000</v>
      </c>
      <c r="T122" s="97"/>
    </row>
    <row r="123" spans="1:25">
      <c r="O123" s="97" t="s">
        <v>5798</v>
      </c>
      <c r="P123" s="18">
        <v>-4000000</v>
      </c>
      <c r="Q123" s="97">
        <v>1</v>
      </c>
      <c r="R123" s="97">
        <f t="shared" si="17"/>
        <v>120</v>
      </c>
      <c r="S123" s="97">
        <f t="shared" si="18"/>
        <v>-480000000</v>
      </c>
      <c r="T123" s="97"/>
    </row>
    <row r="124" spans="1:25">
      <c r="O124" s="97" t="s">
        <v>5799</v>
      </c>
      <c r="P124" s="18">
        <v>-3000000</v>
      </c>
      <c r="Q124" s="97">
        <v>3</v>
      </c>
      <c r="R124" s="97">
        <f t="shared" si="17"/>
        <v>119</v>
      </c>
      <c r="S124" s="97">
        <f t="shared" si="18"/>
        <v>-357000000</v>
      </c>
      <c r="T124" s="97"/>
    </row>
    <row r="125" spans="1:25">
      <c r="O125" s="97" t="s">
        <v>5806</v>
      </c>
      <c r="P125" s="18">
        <v>-6000000</v>
      </c>
      <c r="Q125" s="97">
        <v>1</v>
      </c>
      <c r="R125" s="97">
        <f t="shared" si="17"/>
        <v>116</v>
      </c>
      <c r="S125" s="97">
        <f t="shared" si="18"/>
        <v>-696000000</v>
      </c>
      <c r="T125" s="97"/>
    </row>
    <row r="126" spans="1:25">
      <c r="O126" s="97" t="s">
        <v>5810</v>
      </c>
      <c r="P126" s="18">
        <v>-10000000</v>
      </c>
      <c r="Q126" s="97">
        <v>0</v>
      </c>
      <c r="R126" s="97">
        <f t="shared" si="17"/>
        <v>115</v>
      </c>
      <c r="S126" s="97">
        <f t="shared" si="18"/>
        <v>-1150000000</v>
      </c>
      <c r="T126" s="97"/>
    </row>
    <row r="127" spans="1:25">
      <c r="O127" s="97" t="s">
        <v>5810</v>
      </c>
      <c r="P127" s="18">
        <v>-5500000</v>
      </c>
      <c r="Q127" s="97">
        <v>1</v>
      </c>
      <c r="R127" s="97">
        <f t="shared" si="17"/>
        <v>115</v>
      </c>
      <c r="S127" s="97">
        <f t="shared" si="18"/>
        <v>-632500000</v>
      </c>
      <c r="T127" s="97"/>
    </row>
    <row r="128" spans="1:25">
      <c r="O128" s="97" t="s">
        <v>5811</v>
      </c>
      <c r="P128" s="18">
        <v>-1500000</v>
      </c>
      <c r="Q128" s="97">
        <v>9</v>
      </c>
      <c r="R128" s="97">
        <f t="shared" si="17"/>
        <v>114</v>
      </c>
      <c r="S128" s="97">
        <f t="shared" si="18"/>
        <v>-171000000</v>
      </c>
      <c r="T128" s="97"/>
    </row>
    <row r="129" spans="1:23">
      <c r="O129" s="97" t="s">
        <v>5840</v>
      </c>
      <c r="P129" s="18">
        <v>-22545000</v>
      </c>
      <c r="Q129" s="97">
        <v>18</v>
      </c>
      <c r="R129" s="97">
        <f t="shared" si="17"/>
        <v>105</v>
      </c>
      <c r="S129" s="97">
        <f t="shared" si="18"/>
        <v>-2367225000</v>
      </c>
      <c r="T129" s="97" t="s">
        <v>5844</v>
      </c>
    </row>
    <row r="130" spans="1:23">
      <c r="O130" s="97" t="s">
        <v>5857</v>
      </c>
      <c r="P130" s="18">
        <v>5000000</v>
      </c>
      <c r="Q130" s="97">
        <v>9</v>
      </c>
      <c r="R130" s="97">
        <f t="shared" si="17"/>
        <v>87</v>
      </c>
      <c r="S130" s="97">
        <f t="shared" si="18"/>
        <v>435000000</v>
      </c>
      <c r="T130" s="97"/>
    </row>
    <row r="131" spans="1:23">
      <c r="O131" s="97" t="s">
        <v>5870</v>
      </c>
      <c r="P131" s="18">
        <v>3000000</v>
      </c>
      <c r="Q131" s="97">
        <v>0</v>
      </c>
      <c r="R131" s="97">
        <f t="shared" si="17"/>
        <v>78</v>
      </c>
      <c r="S131" s="97">
        <f t="shared" si="18"/>
        <v>234000000</v>
      </c>
      <c r="T131" s="97"/>
      <c r="W131" t="s">
        <v>25</v>
      </c>
    </row>
    <row r="132" spans="1:23">
      <c r="O132" s="97" t="s">
        <v>5870</v>
      </c>
      <c r="P132" s="18">
        <v>-3000000</v>
      </c>
      <c r="Q132" s="97">
        <v>1</v>
      </c>
      <c r="R132" s="97">
        <f t="shared" si="17"/>
        <v>78</v>
      </c>
      <c r="S132" s="97">
        <f t="shared" si="18"/>
        <v>-234000000</v>
      </c>
      <c r="T132" s="97"/>
    </row>
    <row r="133" spans="1:23">
      <c r="O133" s="97" t="s">
        <v>5871</v>
      </c>
      <c r="P133" s="18">
        <v>-11455000</v>
      </c>
      <c r="Q133" s="97">
        <v>14</v>
      </c>
      <c r="R133" s="97">
        <f t="shared" si="17"/>
        <v>77</v>
      </c>
      <c r="S133" s="97">
        <f t="shared" si="18"/>
        <v>-882035000</v>
      </c>
      <c r="T133" s="97"/>
    </row>
    <row r="134" spans="1:23">
      <c r="O134" s="97" t="s">
        <v>6458</v>
      </c>
      <c r="P134" s="18">
        <v>2317100</v>
      </c>
      <c r="Q134" s="97">
        <v>3</v>
      </c>
      <c r="R134" s="97">
        <f t="shared" si="17"/>
        <v>63</v>
      </c>
      <c r="S134" s="97">
        <f t="shared" si="18"/>
        <v>145977300</v>
      </c>
      <c r="T134" s="97"/>
    </row>
    <row r="135" spans="1:23">
      <c r="O135" s="97" t="s">
        <v>6463</v>
      </c>
      <c r="P135" s="18">
        <v>699000</v>
      </c>
      <c r="Q135" s="97">
        <v>3</v>
      </c>
      <c r="R135" s="97">
        <f t="shared" si="17"/>
        <v>60</v>
      </c>
      <c r="S135" s="97">
        <f t="shared" si="18"/>
        <v>41940000</v>
      </c>
      <c r="T135" s="97"/>
    </row>
    <row r="136" spans="1:23">
      <c r="O136" s="97" t="s">
        <v>6469</v>
      </c>
      <c r="P136" s="18">
        <v>-1016100</v>
      </c>
      <c r="Q136" s="97">
        <v>5</v>
      </c>
      <c r="R136" s="97">
        <f t="shared" si="17"/>
        <v>57</v>
      </c>
      <c r="S136" s="97">
        <f t="shared" si="18"/>
        <v>-57917700</v>
      </c>
      <c r="T136" s="97"/>
    </row>
    <row r="137" spans="1:23">
      <c r="A137" s="302" t="s">
        <v>180</v>
      </c>
      <c r="B137" s="303" t="s">
        <v>5895</v>
      </c>
      <c r="C137" s="32" t="s">
        <v>5896</v>
      </c>
      <c r="D137" s="32" t="s">
        <v>5897</v>
      </c>
      <c r="E137" s="32" t="s">
        <v>5898</v>
      </c>
      <c r="F137" s="32" t="s">
        <v>5899</v>
      </c>
      <c r="G137" s="32" t="s">
        <v>5326</v>
      </c>
      <c r="H137" s="32" t="s">
        <v>5900</v>
      </c>
      <c r="I137" s="279" t="s">
        <v>5901</v>
      </c>
      <c r="O137" s="97" t="s">
        <v>6477</v>
      </c>
      <c r="P137" s="18">
        <v>-680000</v>
      </c>
      <c r="Q137" s="97">
        <v>3</v>
      </c>
      <c r="R137" s="97">
        <f t="shared" si="17"/>
        <v>52</v>
      </c>
      <c r="S137" s="97">
        <f t="shared" si="18"/>
        <v>-35360000</v>
      </c>
      <c r="T137" s="97"/>
    </row>
    <row r="138" spans="1:23">
      <c r="A138" s="302" t="s">
        <v>4223</v>
      </c>
      <c r="B138" s="304">
        <v>70000000</v>
      </c>
      <c r="C138" s="305">
        <v>4400000</v>
      </c>
      <c r="D138" s="306">
        <f>B138/C138</f>
        <v>15.909090909090908</v>
      </c>
      <c r="E138" s="18">
        <v>190</v>
      </c>
      <c r="F138" s="32">
        <f>B138/E138</f>
        <v>368421.05263157893</v>
      </c>
      <c r="G138" s="32"/>
      <c r="H138" s="32"/>
      <c r="I138" s="207"/>
      <c r="O138" s="97" t="s">
        <v>6478</v>
      </c>
      <c r="P138" s="18">
        <v>-216000</v>
      </c>
      <c r="Q138" s="97">
        <v>3</v>
      </c>
      <c r="R138" s="97">
        <f t="shared" si="17"/>
        <v>49</v>
      </c>
      <c r="S138" s="97">
        <f t="shared" si="18"/>
        <v>-10584000</v>
      </c>
      <c r="T138" s="97"/>
    </row>
    <row r="139" spans="1:23">
      <c r="A139" s="302" t="s">
        <v>4744</v>
      </c>
      <c r="B139" s="18"/>
      <c r="C139" s="18"/>
      <c r="D139" s="18"/>
      <c r="E139" s="18"/>
      <c r="F139" s="32">
        <f>F138+I139</f>
        <v>419590.64327485382</v>
      </c>
      <c r="G139" s="32">
        <v>25</v>
      </c>
      <c r="H139" s="32">
        <v>180</v>
      </c>
      <c r="I139" s="308">
        <f>G139*F138/H139</f>
        <v>51169.59064327486</v>
      </c>
      <c r="O139" s="97" t="s">
        <v>6481</v>
      </c>
      <c r="P139" s="18">
        <v>-619000</v>
      </c>
      <c r="Q139" s="97">
        <v>3</v>
      </c>
      <c r="R139" s="97">
        <f t="shared" si="17"/>
        <v>46</v>
      </c>
      <c r="S139" s="97">
        <f t="shared" si="18"/>
        <v>-28474000</v>
      </c>
      <c r="T139" s="97"/>
    </row>
    <row r="140" spans="1:23">
      <c r="A140" s="302" t="s">
        <v>5431</v>
      </c>
      <c r="B140" s="18"/>
      <c r="C140" s="18"/>
      <c r="D140" s="18"/>
      <c r="E140" s="18"/>
      <c r="F140" s="32">
        <f>F139+I140</f>
        <v>441232.68698060943</v>
      </c>
      <c r="G140" s="32">
        <v>49</v>
      </c>
      <c r="H140" s="32">
        <v>950</v>
      </c>
      <c r="I140" s="308">
        <f>F139*G140/H140</f>
        <v>21642.043705755616</v>
      </c>
      <c r="O140" s="144" t="s">
        <v>6495</v>
      </c>
      <c r="P140" s="240">
        <v>-485000</v>
      </c>
      <c r="Q140" s="144">
        <v>11</v>
      </c>
      <c r="R140" s="97">
        <f t="shared" si="17"/>
        <v>43</v>
      </c>
      <c r="S140" s="97">
        <f t="shared" si="18"/>
        <v>-20855000</v>
      </c>
      <c r="T140" s="144"/>
      <c r="V140" t="s">
        <v>25</v>
      </c>
    </row>
    <row r="141" spans="1:23">
      <c r="A141" s="302" t="s">
        <v>5870</v>
      </c>
      <c r="B141" s="18"/>
      <c r="C141" s="18"/>
      <c r="D141" s="18"/>
      <c r="E141" s="18"/>
      <c r="F141" s="32">
        <f>F140+I141</f>
        <v>473322.33694283559</v>
      </c>
      <c r="G141" s="32">
        <v>80</v>
      </c>
      <c r="H141" s="32">
        <v>1100</v>
      </c>
      <c r="I141" s="308">
        <f>F140*G141/H141</f>
        <v>32089.64996222614</v>
      </c>
      <c r="O141" s="97" t="s">
        <v>6505</v>
      </c>
      <c r="P141" s="18">
        <v>3000000</v>
      </c>
      <c r="Q141" s="97">
        <v>1</v>
      </c>
      <c r="R141" s="97">
        <f t="shared" si="17"/>
        <v>32</v>
      </c>
      <c r="S141" s="97">
        <f t="shared" si="18"/>
        <v>96000000</v>
      </c>
      <c r="T141" s="97"/>
    </row>
    <row r="142" spans="1:23">
      <c r="A142" s="9"/>
      <c r="B142" s="18"/>
      <c r="O142" s="97" t="s">
        <v>6507</v>
      </c>
      <c r="P142" s="18">
        <v>255000</v>
      </c>
      <c r="Q142" s="97">
        <v>1</v>
      </c>
      <c r="R142" s="97">
        <f t="shared" si="17"/>
        <v>31</v>
      </c>
      <c r="S142" s="97">
        <f t="shared" si="18"/>
        <v>7905000</v>
      </c>
      <c r="T142" s="97" t="s">
        <v>6508</v>
      </c>
    </row>
    <row r="143" spans="1:23">
      <c r="A143" s="302"/>
      <c r="B143" s="304" t="s">
        <v>5902</v>
      </c>
      <c r="C143" s="18"/>
      <c r="D143" s="18" t="s">
        <v>5903</v>
      </c>
      <c r="E143" s="18"/>
      <c r="F143" s="18" t="s">
        <v>5904</v>
      </c>
      <c r="G143" s="32"/>
      <c r="H143" s="32"/>
      <c r="I143" s="207"/>
      <c r="O143" s="97" t="s">
        <v>6509</v>
      </c>
      <c r="P143" s="18">
        <v>-3255000</v>
      </c>
      <c r="Q143" s="97">
        <v>9</v>
      </c>
      <c r="R143" s="97">
        <f t="shared" si="17"/>
        <v>30</v>
      </c>
      <c r="S143" s="97">
        <f t="shared" si="18"/>
        <v>-97650000</v>
      </c>
      <c r="T143" s="97"/>
      <c r="V143" t="s">
        <v>25</v>
      </c>
    </row>
    <row r="144" spans="1:23">
      <c r="A144" s="302" t="s">
        <v>5894</v>
      </c>
      <c r="B144" s="304">
        <v>260000000</v>
      </c>
      <c r="C144" s="18"/>
      <c r="D144" s="305">
        <f>10440000*D138</f>
        <v>166090909.09090909</v>
      </c>
      <c r="E144" s="18"/>
      <c r="F144" s="307">
        <f>1066*F141</f>
        <v>504561611.18106276</v>
      </c>
      <c r="G144" s="32"/>
      <c r="H144" s="32"/>
      <c r="I144" s="207"/>
      <c r="M144" t="s">
        <v>25</v>
      </c>
      <c r="O144" s="97" t="s">
        <v>6537</v>
      </c>
      <c r="P144" s="18">
        <v>60000000</v>
      </c>
      <c r="Q144" s="97">
        <v>19</v>
      </c>
      <c r="R144" s="97">
        <f t="shared" si="17"/>
        <v>21</v>
      </c>
      <c r="S144" s="97">
        <f t="shared" si="18"/>
        <v>1260000000</v>
      </c>
      <c r="T144" s="97"/>
    </row>
    <row r="145" spans="1:25">
      <c r="A145" s="94"/>
      <c r="B145" s="94"/>
      <c r="E145" s="94"/>
      <c r="F145" s="94"/>
      <c r="G145" s="94"/>
      <c r="H145" s="94"/>
      <c r="I145" s="94"/>
      <c r="J145" s="94"/>
      <c r="O145" s="97" t="s">
        <v>6561</v>
      </c>
      <c r="P145" s="18">
        <v>473628</v>
      </c>
      <c r="Q145" s="97">
        <v>2</v>
      </c>
      <c r="R145" s="97">
        <f>Q145+R149</f>
        <v>2</v>
      </c>
      <c r="S145" s="97">
        <f t="shared" si="18"/>
        <v>947256</v>
      </c>
      <c r="T145" s="97" t="s">
        <v>6562</v>
      </c>
    </row>
    <row r="146" spans="1:25">
      <c r="A146" s="94"/>
      <c r="B146" s="94"/>
      <c r="E146" s="94"/>
      <c r="F146" s="94"/>
      <c r="G146" s="94"/>
      <c r="H146" s="94"/>
      <c r="I146" s="94" t="s">
        <v>25</v>
      </c>
      <c r="J146" s="94"/>
      <c r="O146" s="97" t="s">
        <v>6563</v>
      </c>
      <c r="P146" s="18">
        <v>-473628</v>
      </c>
      <c r="Q146" s="97">
        <v>1</v>
      </c>
      <c r="R146" s="97"/>
      <c r="S146" s="97"/>
      <c r="T146" s="97"/>
    </row>
    <row r="147" spans="1:25">
      <c r="A147" s="94"/>
      <c r="B147" s="94"/>
      <c r="E147" s="94"/>
      <c r="F147" s="94"/>
      <c r="G147" s="94"/>
      <c r="H147" s="94"/>
      <c r="I147" s="94"/>
      <c r="J147" s="94"/>
      <c r="O147" s="97" t="s">
        <v>6566</v>
      </c>
      <c r="P147" s="18">
        <v>-6000000</v>
      </c>
      <c r="Q147" s="97">
        <v>1</v>
      </c>
      <c r="R147" s="97"/>
      <c r="S147" s="97"/>
      <c r="T147" s="97"/>
    </row>
    <row r="148" spans="1:25">
      <c r="A148" s="312" t="s">
        <v>6453</v>
      </c>
      <c r="B148" s="313" t="s">
        <v>6451</v>
      </c>
      <c r="C148" s="32" t="s">
        <v>6476</v>
      </c>
      <c r="D148" s="239" t="s">
        <v>1100</v>
      </c>
      <c r="E148" s="32" t="s">
        <v>6452</v>
      </c>
      <c r="F148" s="207" t="s">
        <v>5896</v>
      </c>
      <c r="G148" s="207" t="s">
        <v>6475</v>
      </c>
      <c r="H148" s="94"/>
      <c r="I148" s="94"/>
      <c r="J148" s="94"/>
      <c r="M148" t="s">
        <v>25</v>
      </c>
      <c r="O148" s="97"/>
      <c r="P148" s="18"/>
      <c r="Q148" s="97"/>
      <c r="R148" s="97"/>
      <c r="S148" s="97"/>
      <c r="T148" s="97"/>
    </row>
    <row r="149" spans="1:25">
      <c r="A149" s="312">
        <v>1390</v>
      </c>
      <c r="B149" s="313">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2">
        <v>1391</v>
      </c>
      <c r="B150" s="313">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2">
        <v>1392</v>
      </c>
      <c r="B151" s="313">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2">
        <v>1393</v>
      </c>
      <c r="B152" s="313">
        <v>782</v>
      </c>
      <c r="C152" s="32">
        <f t="shared" si="21"/>
        <v>22.1875</v>
      </c>
      <c r="D152" s="239">
        <v>3300</v>
      </c>
      <c r="E152" s="32">
        <f t="shared" si="19"/>
        <v>236.96969696969697</v>
      </c>
      <c r="F152" s="18">
        <v>1000000</v>
      </c>
      <c r="G152" s="207">
        <f t="shared" si="20"/>
        <v>782</v>
      </c>
      <c r="H152" s="94" t="s">
        <v>25</v>
      </c>
      <c r="I152" s="94"/>
      <c r="J152" s="94"/>
      <c r="O152" s="97"/>
      <c r="P152" s="18">
        <f>SUM(P32:P151)</f>
        <v>54000000</v>
      </c>
      <c r="Q152" s="97"/>
      <c r="R152" s="97"/>
      <c r="S152" s="18">
        <f>SUM(S32:S151)</f>
        <v>12755669756</v>
      </c>
      <c r="T152" s="97"/>
    </row>
    <row r="153" spans="1:25">
      <c r="A153" s="312">
        <v>1394</v>
      </c>
      <c r="B153" s="313">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2">
        <v>1395</v>
      </c>
      <c r="B154" s="313">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2">
        <v>1396</v>
      </c>
      <c r="B155" s="313">
        <v>1530</v>
      </c>
      <c r="C155" s="32">
        <f t="shared" si="21"/>
        <v>22.106943335993616</v>
      </c>
      <c r="D155" s="239">
        <v>4500</v>
      </c>
      <c r="E155" s="32">
        <f>B155*1000/D155</f>
        <v>340</v>
      </c>
      <c r="F155" s="18">
        <v>1400000</v>
      </c>
      <c r="G155" s="207">
        <f>B155*1000*1000/F155</f>
        <v>1092.8571428571429</v>
      </c>
      <c r="H155" s="94"/>
      <c r="I155" s="94"/>
      <c r="J155" s="94"/>
      <c r="P155" s="94"/>
    </row>
    <row r="156" spans="1:25">
      <c r="A156" s="312">
        <v>1397</v>
      </c>
      <c r="B156" s="313">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2">
        <v>1398</v>
      </c>
      <c r="B157" s="313">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2">
        <v>1399</v>
      </c>
      <c r="B158" s="313">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2">
        <v>1400</v>
      </c>
      <c r="B159" s="313">
        <f>B158*(1+C158/100)</f>
        <v>4887.7734627831715</v>
      </c>
      <c r="C159" s="32">
        <f t="shared" ref="C159" si="24">(B159-B158)*100/B158</f>
        <v>40.614886731391586</v>
      </c>
      <c r="D159" s="239">
        <v>26000</v>
      </c>
      <c r="E159" s="32">
        <f t="shared" si="23"/>
        <v>187.99128703012198</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s="94"/>
      <c r="B164" s="94"/>
      <c r="E164" s="94"/>
    </row>
    <row r="165" spans="1:20">
      <c r="A165" s="94"/>
      <c r="B165" s="94"/>
      <c r="E165" s="94"/>
    </row>
    <row r="166" spans="1:20">
      <c r="A166" s="94"/>
      <c r="B166" s="94"/>
      <c r="E166" s="94"/>
    </row>
    <row r="168" spans="1:20">
      <c r="A168" s="94"/>
      <c r="B168" s="94"/>
      <c r="E168" s="94"/>
      <c r="F168" s="94"/>
      <c r="G168" s="94"/>
      <c r="H168" s="94"/>
      <c r="I168" s="94"/>
      <c r="J168" s="94"/>
      <c r="K168" s="94"/>
      <c r="L168" s="94"/>
      <c r="M168" s="94"/>
      <c r="N168" s="94"/>
      <c r="O168" s="94"/>
      <c r="P168" s="94"/>
      <c r="Q168" s="94"/>
    </row>
    <row r="169" spans="1:20">
      <c r="A169" s="94"/>
      <c r="B169" s="94"/>
      <c r="E169" s="94"/>
      <c r="F169" s="94"/>
      <c r="G169" s="94"/>
      <c r="H169" s="94"/>
      <c r="I169" s="94"/>
      <c r="J169" s="94"/>
      <c r="K169" s="94"/>
      <c r="L169" s="94"/>
      <c r="M169" s="94"/>
      <c r="N169" s="94"/>
      <c r="O169" s="94"/>
      <c r="P169" s="94"/>
      <c r="Q169" s="94"/>
    </row>
    <row r="170" spans="1:20">
      <c r="A170" s="94"/>
      <c r="B170" s="94"/>
      <c r="E170" s="94"/>
      <c r="F170" s="94"/>
      <c r="G170" s="94"/>
      <c r="H170" s="94"/>
      <c r="I170" s="94"/>
      <c r="J170" s="94"/>
      <c r="K170" s="94"/>
      <c r="L170" s="94"/>
      <c r="M170" s="94"/>
      <c r="N170" s="94"/>
      <c r="O170" s="94"/>
      <c r="P170" s="94"/>
      <c r="Q170" s="94"/>
    </row>
    <row r="171" spans="1:20">
      <c r="A171" s="94"/>
      <c r="B171" s="94"/>
      <c r="E171" s="94"/>
      <c r="F171" s="94"/>
      <c r="G171" s="94"/>
      <c r="H171" s="94"/>
      <c r="I171" s="94"/>
      <c r="J171" s="94"/>
      <c r="K171" s="94"/>
      <c r="L171" s="94"/>
      <c r="M171" s="94"/>
      <c r="N171" s="94"/>
      <c r="O171" s="94"/>
      <c r="P171" s="94"/>
      <c r="Q171" s="94"/>
    </row>
    <row r="172" spans="1:20">
      <c r="A172" s="94"/>
      <c r="B172" s="94"/>
      <c r="E172" s="94"/>
      <c r="F172" s="94"/>
      <c r="G172" s="94"/>
      <c r="H172" s="94"/>
      <c r="I172" s="94"/>
      <c r="J172" s="94"/>
      <c r="K172" s="94"/>
      <c r="L172" s="94"/>
      <c r="M172" s="94"/>
      <c r="N172" s="94"/>
      <c r="O172" s="94"/>
      <c r="P172" s="94"/>
      <c r="Q172" s="94"/>
    </row>
    <row r="173" spans="1:20">
      <c r="A173" s="94"/>
      <c r="B173" s="94"/>
      <c r="E173" s="94"/>
      <c r="F173" s="94"/>
      <c r="G173" s="94"/>
      <c r="H173" s="94"/>
      <c r="I173" s="94"/>
      <c r="J173" s="94"/>
      <c r="K173" s="94"/>
      <c r="L173" s="94"/>
      <c r="M173" s="94"/>
      <c r="N173" s="94"/>
      <c r="O173" s="94"/>
      <c r="P173" s="94"/>
      <c r="Q173" s="94"/>
    </row>
    <row r="174" spans="1:20">
      <c r="A174" s="94"/>
      <c r="B174" s="94"/>
      <c r="E174" s="94"/>
      <c r="F174" s="94"/>
      <c r="G174" s="94"/>
      <c r="H174" s="94"/>
      <c r="I174" s="94"/>
      <c r="J174" s="94"/>
      <c r="K174" s="94"/>
      <c r="L174" s="94"/>
      <c r="M174" s="94"/>
      <c r="N174" s="94"/>
      <c r="O174" s="94"/>
      <c r="P174" s="94"/>
      <c r="Q174" s="94"/>
    </row>
    <row r="175" spans="1:20">
      <c r="A175" s="94"/>
      <c r="B175" s="94"/>
      <c r="E175" s="94"/>
      <c r="F175" s="94"/>
      <c r="G175" s="94"/>
      <c r="H175" s="94"/>
      <c r="I175" s="94"/>
      <c r="J175" s="94"/>
      <c r="K175" s="94"/>
      <c r="L175" s="94"/>
      <c r="M175" s="94"/>
      <c r="N175" s="94"/>
      <c r="O175" s="94"/>
      <c r="P175" s="94"/>
      <c r="Q175" s="94"/>
    </row>
    <row r="176" spans="1:20">
      <c r="A176" s="94"/>
      <c r="B176" s="94"/>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6560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A49" zoomScale="80" zoomScaleNormal="80" workbookViewId="0">
      <selection activeCell="K166" sqref="K1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5506519587.6059475</v>
      </c>
      <c r="M21" s="166" t="s">
        <v>4275</v>
      </c>
      <c r="N21" s="111">
        <f>O21*P21</f>
        <v>2991787876</v>
      </c>
      <c r="O21" s="97">
        <v>2606087</v>
      </c>
      <c r="P21" s="183">
        <f>P47</f>
        <v>1148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513279</v>
      </c>
      <c r="O22" s="97">
        <v>369</v>
      </c>
      <c r="P22" s="183">
        <f>P50</f>
        <v>1391</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67017984</v>
      </c>
      <c r="O23" s="97">
        <v>31732</v>
      </c>
      <c r="P23" s="183">
        <f>P48</f>
        <v>2112</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5355931221.6059475</v>
      </c>
      <c r="G24" s="93">
        <f t="shared" si="0"/>
        <v>-5075624876.2240086</v>
      </c>
      <c r="H24" s="11"/>
      <c r="I24" s="94"/>
      <c r="J24" s="94"/>
      <c r="K24" s="207"/>
      <c r="L24" s="115"/>
      <c r="M24" s="207" t="s">
        <v>4357</v>
      </c>
      <c r="N24" s="111">
        <f>O24*P24</f>
        <v>37561500</v>
      </c>
      <c r="O24" s="97">
        <v>2455</v>
      </c>
      <c r="P24" s="183">
        <f>P45</f>
        <v>15300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37362260</v>
      </c>
      <c r="O28" s="67">
        <v>26860</v>
      </c>
      <c r="P28" s="97">
        <f>P50</f>
        <v>1391</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21525504</v>
      </c>
      <c r="O29" s="67">
        <v>10192</v>
      </c>
      <c r="P29" s="97">
        <f>P48</f>
        <v>2112</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15300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355175128</v>
      </c>
      <c r="O31" s="67">
        <v>309386</v>
      </c>
      <c r="P31" s="97">
        <f>P47</f>
        <v>1148</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6567</v>
      </c>
      <c r="L34" s="115">
        <v>-34500000</v>
      </c>
      <c r="M34" s="166" t="s">
        <v>4131</v>
      </c>
      <c r="N34" s="111">
        <f>-W165</f>
        <v>-5506519587.6059475</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6539</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-15669052</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7">
        <v>6493</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41765388</v>
      </c>
      <c r="O44" s="67">
        <v>36381</v>
      </c>
      <c r="P44" s="67">
        <f>P47</f>
        <v>1148</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6992100</v>
      </c>
      <c r="O45" s="67">
        <v>457</v>
      </c>
      <c r="P45" s="67">
        <v>15300</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6540</v>
      </c>
      <c r="L46" s="115">
        <v>-54000000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5230542856</v>
      </c>
      <c r="O47" s="97">
        <v>4556222</v>
      </c>
      <c r="P47" s="97">
        <v>1148</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6515</v>
      </c>
      <c r="L48" s="115">
        <v>3500000</v>
      </c>
      <c r="M48" s="19" t="s">
        <v>5905</v>
      </c>
      <c r="N48" s="111">
        <f>O48*P48</f>
        <v>40113216</v>
      </c>
      <c r="O48" s="97">
        <v>18993</v>
      </c>
      <c r="P48" s="97">
        <v>2112</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157359657</v>
      </c>
      <c r="O50" s="97">
        <v>113127</v>
      </c>
      <c r="P50" s="97">
        <v>1391</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-W166</f>
        <v>-100485774.3239378</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3337988426.0701146</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5355931221.6059475</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5455931221.6059475</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6553</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6554</v>
      </c>
      <c r="S78" s="194">
        <f>S77-49</f>
        <v>3</v>
      </c>
      <c r="T78" s="207" t="s">
        <v>6555</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1292283821.6758094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8972.1254355400688</v>
      </c>
      <c r="G104" s="196">
        <f>P47</f>
        <v>1148</v>
      </c>
      <c r="H104" s="196" t="s">
        <v>4704</v>
      </c>
      <c r="I104" s="196" t="s">
        <v>5297</v>
      </c>
      <c r="J104" s="208" t="s">
        <v>4219</v>
      </c>
      <c r="K104" s="196">
        <v>210</v>
      </c>
      <c r="L104" s="209">
        <f>K104*$L$112</f>
        <v>2163000000</v>
      </c>
      <c r="M104" s="209">
        <f>N21+N31+N47+N44</f>
        <v>8619271248</v>
      </c>
      <c r="N104" s="181">
        <f t="shared" ref="N104:N109" si="40">L104-M104</f>
        <v>-6456271248</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K105*$L$112</f>
        <v>339900000</v>
      </c>
      <c r="M105" s="1">
        <f>N46+N28+N22</f>
        <v>38447539</v>
      </c>
      <c r="N105" s="111">
        <f t="shared" si="40"/>
        <v>301452461</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15300</v>
      </c>
      <c r="H106" s="196" t="s">
        <v>4977</v>
      </c>
      <c r="I106" s="196" t="s">
        <v>5299</v>
      </c>
      <c r="J106" s="208" t="s">
        <v>4357</v>
      </c>
      <c r="K106" s="196">
        <v>0</v>
      </c>
      <c r="L106" s="209">
        <f>K106*$L$112</f>
        <v>0</v>
      </c>
      <c r="M106" s="209">
        <f>N45+N24</f>
        <v>44553600</v>
      </c>
      <c r="N106" s="181">
        <f t="shared" si="40"/>
        <v>-44553600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K107*$L$112</f>
        <v>0</v>
      </c>
      <c r="M107" s="265">
        <f>N20+N27+N42</f>
        <v>8102</v>
      </c>
      <c r="N107" s="186">
        <f t="shared" si="40"/>
        <v>-8102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K108*$L$112</f>
        <v>10300000</v>
      </c>
      <c r="M108" s="209">
        <v>0</v>
      </c>
      <c r="N108" s="181">
        <f t="shared" si="40"/>
        <v>10300000</v>
      </c>
      <c r="P108" t="s">
        <v>25</v>
      </c>
      <c r="Q108" s="111">
        <f>SUM(N28:N31)-SUM(Q87:Q107)</f>
        <v>381149858.7462979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K109*$L$112</f>
        <v>6159400000</v>
      </c>
      <c r="M109" s="240">
        <v>0</v>
      </c>
      <c r="N109" s="84">
        <f t="shared" si="40"/>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-9680489</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1">U116*(1+$R$112+$Q$15*S116/36500)</f>
        <v>342.35335890410965</v>
      </c>
      <c r="W116" s="32">
        <f t="shared" ref="W116" si="42">V116*(1+$W$19/100)</f>
        <v>349.20042608219188</v>
      </c>
      <c r="X116" s="32">
        <f t="shared" ref="X116" si="43">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1"/>
        <v>2494.2547232876718</v>
      </c>
      <c r="W117" s="32">
        <f t="shared" ref="W117:W118" si="44">V117*(1+$W$19/100)</f>
        <v>2544.1398177534252</v>
      </c>
      <c r="X117" s="32">
        <f t="shared" ref="X117:X118" si="45">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6">(M118-L118)*100/L118</f>
        <v>48.81818181818182</v>
      </c>
      <c r="Q118" s="167">
        <v>8201348.2384272004</v>
      </c>
      <c r="R118" s="207" t="s">
        <v>5586</v>
      </c>
      <c r="S118" s="207">
        <f>S117-5</f>
        <v>301</v>
      </c>
      <c r="T118" s="207" t="s">
        <v>5639</v>
      </c>
      <c r="U118" s="207">
        <v>1751</v>
      </c>
      <c r="V118" s="97">
        <f t="shared" si="41"/>
        <v>2181.9282958904114</v>
      </c>
      <c r="W118" s="32">
        <f t="shared" si="44"/>
        <v>2225.5668618082195</v>
      </c>
      <c r="X118" s="32">
        <f t="shared" si="45"/>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6"/>
        <v>331.63636363636363</v>
      </c>
      <c r="Q119" s="167">
        <v>106896832</v>
      </c>
      <c r="R119" s="207" t="s">
        <v>5641</v>
      </c>
      <c r="S119" s="207">
        <f>S118-36</f>
        <v>265</v>
      </c>
      <c r="T119" s="207" t="s">
        <v>5642</v>
      </c>
      <c r="U119" s="207">
        <v>1715</v>
      </c>
      <c r="V119" s="97">
        <f t="shared" si="41"/>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6"/>
        <v>367</v>
      </c>
      <c r="Q120" s="167">
        <v>455942528</v>
      </c>
      <c r="R120" s="207" t="s">
        <v>5643</v>
      </c>
      <c r="S120" s="207">
        <f>S119-1</f>
        <v>264</v>
      </c>
      <c r="T120" s="207" t="s">
        <v>5645</v>
      </c>
      <c r="U120" s="207">
        <v>1631</v>
      </c>
      <c r="V120" s="97">
        <f t="shared" si="41"/>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6"/>
        <v>290.90909090909093</v>
      </c>
      <c r="Q121" s="167">
        <v>834999909.33089697</v>
      </c>
      <c r="R121" s="207" t="s">
        <v>5647</v>
      </c>
      <c r="S121" s="207">
        <f>S120-1</f>
        <v>263</v>
      </c>
      <c r="T121" s="207" t="s">
        <v>5666</v>
      </c>
      <c r="U121" s="207">
        <v>1567.4</v>
      </c>
      <c r="V121" s="97">
        <f t="shared" si="41"/>
        <v>1907.4527978082197</v>
      </c>
      <c r="W121" s="32">
        <f t="shared" si="49"/>
        <v>1945.601853764384</v>
      </c>
      <c r="X121" s="32">
        <f t="shared" si="50"/>
        <v>1983.7509097205484</v>
      </c>
      <c r="Y121">
        <v>530747</v>
      </c>
      <c r="AH121" s="97">
        <v>101</v>
      </c>
      <c r="AI121" s="111" t="s">
        <v>4554</v>
      </c>
      <c r="AJ121" s="111">
        <v>8800000</v>
      </c>
      <c r="AK121" s="97">
        <v>0</v>
      </c>
      <c r="AL121" s="97">
        <f t="shared" ref="AL121:AL126" si="51">AL122+AK121</f>
        <v>790</v>
      </c>
      <c r="AM121" s="115">
        <f t="shared" ref="AM121:AM144" si="52">AJ121*AL121</f>
        <v>6952000000</v>
      </c>
      <c r="AN121" s="97"/>
      <c r="AP121" t="s">
        <v>25</v>
      </c>
    </row>
    <row r="122" spans="6:46" ht="17.25" customHeight="1">
      <c r="F122" s="94"/>
      <c r="G122" s="94"/>
      <c r="H122" s="94"/>
      <c r="I122" s="94"/>
      <c r="J122" s="94"/>
      <c r="K122" s="5" t="s">
        <v>4374</v>
      </c>
      <c r="L122" s="167">
        <v>1100000</v>
      </c>
      <c r="M122" s="167">
        <v>3191000</v>
      </c>
      <c r="N122" s="166">
        <f t="shared" si="46"/>
        <v>190.09090909090909</v>
      </c>
      <c r="Q122" s="167"/>
      <c r="R122" s="207" t="s">
        <v>5667</v>
      </c>
      <c r="S122" s="207">
        <f>S121-13</f>
        <v>250</v>
      </c>
      <c r="T122" s="207" t="s">
        <v>5668</v>
      </c>
      <c r="U122" s="207"/>
      <c r="V122" s="97">
        <f t="shared" si="41"/>
        <v>0</v>
      </c>
      <c r="W122" s="32">
        <f t="shared" ref="W122:W124" si="53">V122*(1+$W$19/100)</f>
        <v>0</v>
      </c>
      <c r="X122" s="32">
        <f t="shared" ref="X122:X124" si="54">V122*(1+$X$19/100)</f>
        <v>0</v>
      </c>
      <c r="Y122" s="94">
        <v>83532</v>
      </c>
      <c r="Z122" s="94"/>
      <c r="AA122" s="94"/>
      <c r="AH122" s="119">
        <v>102</v>
      </c>
      <c r="AI122" s="77" t="s">
        <v>4554</v>
      </c>
      <c r="AJ122" s="77">
        <v>13071612</v>
      </c>
      <c r="AK122" s="119">
        <v>1</v>
      </c>
      <c r="AL122" s="119">
        <f t="shared" si="51"/>
        <v>790</v>
      </c>
      <c r="AM122" s="77">
        <f t="shared" si="52"/>
        <v>10326573480</v>
      </c>
      <c r="AN122" s="201" t="s">
        <v>4555</v>
      </c>
    </row>
    <row r="123" spans="6:46">
      <c r="F123" s="94"/>
      <c r="G123" s="94"/>
      <c r="H123" s="94"/>
      <c r="I123" s="94"/>
      <c r="J123" s="94"/>
      <c r="K123" s="5" t="s">
        <v>4482</v>
      </c>
      <c r="L123" s="167">
        <v>1100000</v>
      </c>
      <c r="M123" s="167">
        <v>5623000</v>
      </c>
      <c r="N123" s="166">
        <f t="shared" si="46"/>
        <v>411.18181818181819</v>
      </c>
      <c r="Q123" s="167" t="s">
        <v>25</v>
      </c>
      <c r="R123" s="207" t="s">
        <v>5669</v>
      </c>
      <c r="S123" s="207">
        <f>S122-1</f>
        <v>249</v>
      </c>
      <c r="T123" s="207" t="s">
        <v>5670</v>
      </c>
      <c r="U123" s="207"/>
      <c r="V123" s="97">
        <f t="shared" si="41"/>
        <v>0</v>
      </c>
      <c r="W123" s="32">
        <f t="shared" si="53"/>
        <v>0</v>
      </c>
      <c r="X123" s="32">
        <f t="shared" si="54"/>
        <v>0</v>
      </c>
      <c r="Y123" s="94">
        <v>807014</v>
      </c>
      <c r="Z123" s="94"/>
      <c r="AA123" s="94"/>
      <c r="AH123" s="87">
        <v>103</v>
      </c>
      <c r="AI123" s="88" t="s">
        <v>4558</v>
      </c>
      <c r="AJ123" s="88">
        <v>16727037</v>
      </c>
      <c r="AK123" s="87">
        <v>0</v>
      </c>
      <c r="AL123" s="87">
        <f t="shared" si="51"/>
        <v>789</v>
      </c>
      <c r="AM123" s="88">
        <f t="shared" si="52"/>
        <v>13197632193</v>
      </c>
      <c r="AN123" s="87" t="s">
        <v>4565</v>
      </c>
    </row>
    <row r="124" spans="6:46">
      <c r="F124" s="94"/>
      <c r="G124" s="94"/>
      <c r="H124" s="94"/>
      <c r="I124" s="94"/>
      <c r="J124" s="94"/>
      <c r="K124" s="19" t="s">
        <v>4361</v>
      </c>
      <c r="L124" s="167">
        <v>1100000</v>
      </c>
      <c r="M124" s="167">
        <v>7728000</v>
      </c>
      <c r="N124" s="166">
        <f t="shared" si="46"/>
        <v>602.5454545454545</v>
      </c>
      <c r="Q124" s="167"/>
      <c r="R124" s="207" t="s">
        <v>5671</v>
      </c>
      <c r="S124" s="207">
        <f>S123-1</f>
        <v>248</v>
      </c>
      <c r="T124" s="207" t="s">
        <v>5720</v>
      </c>
      <c r="U124" s="207"/>
      <c r="V124" s="97">
        <f t="shared" si="41"/>
        <v>0</v>
      </c>
      <c r="W124" s="32">
        <f t="shared" si="53"/>
        <v>0</v>
      </c>
      <c r="X124" s="32">
        <f t="shared" si="54"/>
        <v>0</v>
      </c>
      <c r="Y124" s="94">
        <v>399790</v>
      </c>
      <c r="Z124" s="94"/>
      <c r="AA124" s="94"/>
      <c r="AH124" s="97">
        <v>104</v>
      </c>
      <c r="AI124" s="111" t="s">
        <v>4558</v>
      </c>
      <c r="AJ124" s="111">
        <v>12000000</v>
      </c>
      <c r="AK124" s="97">
        <v>1</v>
      </c>
      <c r="AL124" s="97">
        <f t="shared" si="51"/>
        <v>789</v>
      </c>
      <c r="AM124" s="115">
        <f t="shared" si="52"/>
        <v>9468000000</v>
      </c>
      <c r="AN124" s="97" t="s">
        <v>4566</v>
      </c>
    </row>
    <row r="125" spans="6:46">
      <c r="F125" s="94"/>
      <c r="G125" s="94"/>
      <c r="H125" s="94"/>
      <c r="I125" s="94"/>
      <c r="J125" s="94"/>
      <c r="K125" s="5" t="s">
        <v>4484</v>
      </c>
      <c r="L125" s="167">
        <v>1100000</v>
      </c>
      <c r="M125" s="167">
        <v>2904000</v>
      </c>
      <c r="N125" s="166">
        <f t="shared" si="46"/>
        <v>164</v>
      </c>
      <c r="Q125" s="167"/>
      <c r="R125" s="207" t="s">
        <v>5725</v>
      </c>
      <c r="S125" s="207">
        <f>S124-53</f>
        <v>195</v>
      </c>
      <c r="T125" s="207" t="s">
        <v>5726</v>
      </c>
      <c r="U125" s="207">
        <v>1500</v>
      </c>
      <c r="V125" s="97">
        <f t="shared" si="41"/>
        <v>1747.1835616438359</v>
      </c>
      <c r="W125" s="32">
        <f t="shared" ref="W125:W138" si="55">V125*(1+$W$19/100)</f>
        <v>1782.1272328767127</v>
      </c>
      <c r="X125" s="32">
        <f t="shared" ref="X125:X138" si="56">V125*(1+$X$19/100)</f>
        <v>1817.0709041095895</v>
      </c>
      <c r="Y125" s="94">
        <v>268413</v>
      </c>
      <c r="Z125" s="94"/>
      <c r="AA125" s="94"/>
      <c r="AH125" s="87">
        <v>105</v>
      </c>
      <c r="AI125" s="88" t="s">
        <v>4496</v>
      </c>
      <c r="AJ125" s="88">
        <v>88697667</v>
      </c>
      <c r="AK125" s="87">
        <v>1</v>
      </c>
      <c r="AL125" s="87">
        <f t="shared" si="51"/>
        <v>788</v>
      </c>
      <c r="AM125" s="88">
        <f t="shared" si="52"/>
        <v>69893761596</v>
      </c>
      <c r="AN125" s="87" t="s">
        <v>4567</v>
      </c>
      <c r="AP125" t="s">
        <v>25</v>
      </c>
    </row>
    <row r="126" spans="6:46">
      <c r="G126" s="94"/>
      <c r="H126" s="94"/>
      <c r="I126" s="94"/>
      <c r="J126" s="94"/>
      <c r="K126" s="54" t="s">
        <v>1070</v>
      </c>
      <c r="L126" s="167">
        <v>1100000</v>
      </c>
      <c r="M126" s="167">
        <v>3400000</v>
      </c>
      <c r="N126" s="166">
        <f t="shared" si="46"/>
        <v>209.09090909090909</v>
      </c>
      <c r="Q126" s="167"/>
      <c r="R126" s="207" t="s">
        <v>5727</v>
      </c>
      <c r="S126" s="207">
        <f>S125-1</f>
        <v>194</v>
      </c>
      <c r="T126" s="207" t="s">
        <v>5728</v>
      </c>
      <c r="U126" s="207">
        <v>1440</v>
      </c>
      <c r="V126" s="97">
        <f t="shared" si="41"/>
        <v>1676.1915616438357</v>
      </c>
      <c r="W126" s="32">
        <f t="shared" si="55"/>
        <v>1709.7153928767125</v>
      </c>
      <c r="X126" s="32">
        <f t="shared" si="56"/>
        <v>1743.2392241095893</v>
      </c>
      <c r="Y126" s="94">
        <v>682</v>
      </c>
      <c r="Z126" s="94"/>
      <c r="AA126" s="94"/>
      <c r="AH126" s="97">
        <v>106</v>
      </c>
      <c r="AI126" s="111" t="s">
        <v>4499</v>
      </c>
      <c r="AJ126" s="111">
        <v>101000</v>
      </c>
      <c r="AK126" s="97">
        <v>0</v>
      </c>
      <c r="AL126" s="97">
        <f t="shared" si="51"/>
        <v>787</v>
      </c>
      <c r="AM126" s="115">
        <f t="shared" si="52"/>
        <v>79487000</v>
      </c>
      <c r="AN126" s="97"/>
      <c r="AQ126" t="s">
        <v>25</v>
      </c>
    </row>
    <row r="127" spans="6:46">
      <c r="K127" s="226" t="s">
        <v>5364</v>
      </c>
      <c r="Q127" s="167"/>
      <c r="R127" s="207" t="s">
        <v>5729</v>
      </c>
      <c r="S127" s="207">
        <f>S126-1</f>
        <v>193</v>
      </c>
      <c r="T127" s="207" t="s">
        <v>5730</v>
      </c>
      <c r="U127" s="207">
        <v>1362</v>
      </c>
      <c r="V127" s="97">
        <f t="shared" si="41"/>
        <v>1584.3530301369865</v>
      </c>
      <c r="W127" s="32">
        <f t="shared" si="55"/>
        <v>1616.0400907397263</v>
      </c>
      <c r="X127" s="32">
        <f t="shared" si="56"/>
        <v>1647.727151342466</v>
      </c>
      <c r="Y127" s="94">
        <v>99554</v>
      </c>
      <c r="Z127" s="94"/>
      <c r="AA127" s="94"/>
      <c r="AB127" s="94"/>
      <c r="AH127" s="147">
        <v>107</v>
      </c>
      <c r="AI127" s="186" t="s">
        <v>4564</v>
      </c>
      <c r="AJ127" s="186">
        <v>-48200</v>
      </c>
      <c r="AK127" s="147">
        <v>0</v>
      </c>
      <c r="AL127" s="147">
        <f t="shared" ref="AL127:AL177" si="57">AL128+AK127</f>
        <v>787</v>
      </c>
      <c r="AM127" s="186">
        <f t="shared" si="52"/>
        <v>-37933400</v>
      </c>
      <c r="AN127" s="147" t="s">
        <v>4570</v>
      </c>
    </row>
    <row r="128" spans="6:46">
      <c r="K128" s="226" t="s">
        <v>4513</v>
      </c>
      <c r="Q128" s="167"/>
      <c r="R128" s="207" t="s">
        <v>5736</v>
      </c>
      <c r="S128" s="207">
        <f>S127-1</f>
        <v>192</v>
      </c>
      <c r="T128" s="207" t="s">
        <v>5737</v>
      </c>
      <c r="U128" s="207">
        <v>1330</v>
      </c>
      <c r="V128" s="97">
        <f t="shared" si="41"/>
        <v>1546.1086027397262</v>
      </c>
      <c r="W128" s="32">
        <f t="shared" si="55"/>
        <v>1577.0307747945208</v>
      </c>
      <c r="X128" s="32">
        <f t="shared" si="56"/>
        <v>1607.9529468493154</v>
      </c>
      <c r="Y128" s="94">
        <v>11986</v>
      </c>
      <c r="Z128" s="94"/>
      <c r="AA128" s="94"/>
      <c r="AB128" s="94"/>
      <c r="AH128" s="87">
        <v>108</v>
      </c>
      <c r="AI128" s="88" t="s">
        <v>4564</v>
      </c>
      <c r="AJ128" s="88">
        <v>39327293</v>
      </c>
      <c r="AK128" s="87">
        <v>4</v>
      </c>
      <c r="AL128" s="147">
        <f t="shared" si="57"/>
        <v>787</v>
      </c>
      <c r="AM128" s="186">
        <f t="shared" si="52"/>
        <v>30950579591</v>
      </c>
      <c r="AN128" s="87" t="s">
        <v>4571</v>
      </c>
    </row>
    <row r="129" spans="7:43">
      <c r="K129" s="226" t="s">
        <v>4514</v>
      </c>
      <c r="P129" t="s">
        <v>25</v>
      </c>
      <c r="Q129" s="167"/>
      <c r="R129" s="207" t="s">
        <v>5741</v>
      </c>
      <c r="S129" s="207">
        <f>S128-4</f>
        <v>188</v>
      </c>
      <c r="T129" s="207" t="s">
        <v>5742</v>
      </c>
      <c r="U129" s="207">
        <v>1390</v>
      </c>
      <c r="V129" s="97">
        <f t="shared" si="41"/>
        <v>1611.5926575342467</v>
      </c>
      <c r="W129" s="32">
        <f t="shared" si="55"/>
        <v>1643.8245106849315</v>
      </c>
      <c r="X129" s="32">
        <f t="shared" si="56"/>
        <v>1676.0563638356166</v>
      </c>
      <c r="Y129" s="94">
        <v>74000</v>
      </c>
      <c r="Z129" s="94"/>
      <c r="AB129" s="94"/>
      <c r="AH129" s="87">
        <v>109</v>
      </c>
      <c r="AI129" s="88" t="s">
        <v>4585</v>
      </c>
      <c r="AJ129" s="88">
        <v>8749050</v>
      </c>
      <c r="AK129" s="87">
        <v>1</v>
      </c>
      <c r="AL129" s="87">
        <f t="shared" si="57"/>
        <v>783</v>
      </c>
      <c r="AM129" s="88">
        <f t="shared" si="52"/>
        <v>6850506150</v>
      </c>
      <c r="AN129" s="87" t="s">
        <v>4586</v>
      </c>
    </row>
    <row r="130" spans="7:43">
      <c r="Q130" s="167"/>
      <c r="R130" s="207" t="s">
        <v>5743</v>
      </c>
      <c r="S130" s="207">
        <f>S129-1</f>
        <v>187</v>
      </c>
      <c r="T130" s="207" t="s">
        <v>5744</v>
      </c>
      <c r="U130" s="207">
        <v>1350</v>
      </c>
      <c r="V130" s="97">
        <f t="shared" si="41"/>
        <v>1564.1802739726029</v>
      </c>
      <c r="W130" s="32">
        <f t="shared" si="55"/>
        <v>1595.4638794520549</v>
      </c>
      <c r="X130" s="32">
        <f t="shared" si="56"/>
        <v>1626.747484931507</v>
      </c>
      <c r="Y130" s="94">
        <v>78520</v>
      </c>
      <c r="Z130" s="94"/>
      <c r="AA130" s="94"/>
      <c r="AH130" s="97">
        <v>110</v>
      </c>
      <c r="AI130" s="111" t="s">
        <v>4587</v>
      </c>
      <c r="AJ130" s="111">
        <v>60000</v>
      </c>
      <c r="AK130" s="97">
        <v>1</v>
      </c>
      <c r="AL130" s="97">
        <f t="shared" si="57"/>
        <v>782</v>
      </c>
      <c r="AM130" s="115">
        <f t="shared" si="52"/>
        <v>46920000</v>
      </c>
      <c r="AN130" s="97" t="s">
        <v>4588</v>
      </c>
    </row>
    <row r="131" spans="7:43">
      <c r="Q131" s="167"/>
      <c r="R131" s="207" t="s">
        <v>5745</v>
      </c>
      <c r="S131" s="207">
        <f>S130-2</f>
        <v>185</v>
      </c>
      <c r="T131" s="207" t="s">
        <v>5746</v>
      </c>
      <c r="U131" s="207">
        <v>1228</v>
      </c>
      <c r="V131" s="97">
        <f t="shared" si="41"/>
        <v>1420.9406684931507</v>
      </c>
      <c r="W131" s="32">
        <f t="shared" si="55"/>
        <v>1449.3594818630138</v>
      </c>
      <c r="X131" s="32">
        <f t="shared" si="56"/>
        <v>1477.7782952328769</v>
      </c>
      <c r="Y131" s="94">
        <v>377107</v>
      </c>
      <c r="Z131" s="94"/>
      <c r="AA131" s="94"/>
      <c r="AH131" s="20">
        <v>111</v>
      </c>
      <c r="AI131" s="115" t="s">
        <v>4596</v>
      </c>
      <c r="AJ131" s="115">
        <v>4750000</v>
      </c>
      <c r="AK131" s="20">
        <v>0</v>
      </c>
      <c r="AL131" s="97">
        <f t="shared" si="57"/>
        <v>781</v>
      </c>
      <c r="AM131" s="115">
        <f t="shared" si="52"/>
        <v>3709750000</v>
      </c>
      <c r="AN131" s="20"/>
      <c r="AQ131" t="s">
        <v>25</v>
      </c>
    </row>
    <row r="132" spans="7:43">
      <c r="Q132" s="167"/>
      <c r="R132" s="207" t="s">
        <v>5750</v>
      </c>
      <c r="S132" s="207">
        <f>S131-4</f>
        <v>181</v>
      </c>
      <c r="T132" s="207" t="s">
        <v>5751</v>
      </c>
      <c r="U132" s="207">
        <v>1325</v>
      </c>
      <c r="V132" s="97">
        <f t="shared" si="41"/>
        <v>1529.1153424657534</v>
      </c>
      <c r="W132" s="32">
        <f t="shared" si="55"/>
        <v>1559.6976493150685</v>
      </c>
      <c r="X132" s="32">
        <f t="shared" si="56"/>
        <v>1590.2799561643835</v>
      </c>
      <c r="Y132" s="94">
        <v>7170</v>
      </c>
      <c r="Z132" s="94"/>
      <c r="AA132" s="94"/>
      <c r="AC132" t="s">
        <v>25</v>
      </c>
      <c r="AH132" s="87">
        <v>112</v>
      </c>
      <c r="AI132" s="88" t="s">
        <v>4596</v>
      </c>
      <c r="AJ132" s="88">
        <v>13101160</v>
      </c>
      <c r="AK132" s="87">
        <v>1</v>
      </c>
      <c r="AL132" s="87">
        <f t="shared" si="57"/>
        <v>781</v>
      </c>
      <c r="AM132" s="88">
        <f t="shared" si="52"/>
        <v>10232005960</v>
      </c>
      <c r="AN132" s="87" t="s">
        <v>4599</v>
      </c>
    </row>
    <row r="133" spans="7:43">
      <c r="G133" s="32" t="s">
        <v>4219</v>
      </c>
      <c r="H133" s="32"/>
      <c r="I133" s="32" t="s">
        <v>4361</v>
      </c>
      <c r="K133" s="94"/>
      <c r="L133" s="94"/>
      <c r="M133" s="94"/>
      <c r="Q133" s="167"/>
      <c r="R133" s="207" t="s">
        <v>5752</v>
      </c>
      <c r="S133" s="207">
        <f>S132-1</f>
        <v>180</v>
      </c>
      <c r="T133" s="207" t="s">
        <v>6535</v>
      </c>
      <c r="U133" s="207">
        <v>1285</v>
      </c>
      <c r="V133" s="97">
        <f t="shared" si="41"/>
        <v>1481.9676164383563</v>
      </c>
      <c r="W133" s="32">
        <f t="shared" si="55"/>
        <v>1511.6069687671236</v>
      </c>
      <c r="X133" s="32">
        <f t="shared" si="56"/>
        <v>1541.2463210958906</v>
      </c>
      <c r="Y133" s="94">
        <v>473114</v>
      </c>
      <c r="Z133" s="94"/>
      <c r="AA133" s="94"/>
      <c r="AH133" s="20">
        <v>113</v>
      </c>
      <c r="AI133" s="115" t="s">
        <v>4598</v>
      </c>
      <c r="AJ133" s="115">
        <v>-980000</v>
      </c>
      <c r="AK133" s="20">
        <v>0</v>
      </c>
      <c r="AL133" s="97">
        <f t="shared" si="57"/>
        <v>780</v>
      </c>
      <c r="AM133" s="115">
        <f t="shared" si="52"/>
        <v>-764400000</v>
      </c>
      <c r="AN133" s="20"/>
    </row>
    <row r="134" spans="7:43">
      <c r="G134" s="32">
        <f>O21+O31+O47+O44</f>
        <v>7508076</v>
      </c>
      <c r="H134" s="32" t="s">
        <v>5451</v>
      </c>
      <c r="I134" s="32">
        <f>O46</f>
        <v>26</v>
      </c>
      <c r="J134" s="112"/>
      <c r="K134" s="94"/>
      <c r="L134" s="94"/>
      <c r="M134" s="94"/>
      <c r="Q134" s="167"/>
      <c r="R134" s="207" t="s">
        <v>5793</v>
      </c>
      <c r="S134" s="207">
        <f>S133-56</f>
        <v>124</v>
      </c>
      <c r="T134" s="207" t="s">
        <v>5797</v>
      </c>
      <c r="U134" s="207">
        <v>1354.1</v>
      </c>
      <c r="V134" s="97">
        <f t="shared" si="41"/>
        <v>1503.4887638356165</v>
      </c>
      <c r="W134" s="32">
        <f t="shared" si="55"/>
        <v>1533.5585391123288</v>
      </c>
      <c r="X134" s="32">
        <f t="shared" si="56"/>
        <v>1563.6283143890412</v>
      </c>
      <c r="Y134" s="94"/>
      <c r="Z134" s="94">
        <v>22000</v>
      </c>
      <c r="AA134" s="94"/>
      <c r="AH134" s="87">
        <v>114</v>
      </c>
      <c r="AI134" s="88" t="s">
        <v>4598</v>
      </c>
      <c r="AJ134" s="88">
        <v>13301790</v>
      </c>
      <c r="AK134" s="87">
        <v>0</v>
      </c>
      <c r="AL134" s="87">
        <f t="shared" si="57"/>
        <v>780</v>
      </c>
      <c r="AM134" s="88">
        <f t="shared" si="52"/>
        <v>10375396200</v>
      </c>
      <c r="AN134" s="87" t="s">
        <v>4599</v>
      </c>
      <c r="AQ134" t="s">
        <v>25</v>
      </c>
    </row>
    <row r="135" spans="7:43">
      <c r="G135" s="32">
        <f>(N30+N22+N24+N28+N45+N46+N23+N29+N48+N50)/P47</f>
        <v>321443.81533101044</v>
      </c>
      <c r="H135" s="279" t="s">
        <v>5452</v>
      </c>
      <c r="I135" s="32">
        <f>(N30+N47+N45+N31+N24+N21+N22+N23+N28+N29+N44+N48+N50)/P46</f>
        <v>408532.57945454546</v>
      </c>
      <c r="J135" s="112"/>
      <c r="K135" s="94"/>
      <c r="L135" s="94" t="s">
        <v>25</v>
      </c>
      <c r="M135" s="94"/>
      <c r="Q135" s="167"/>
      <c r="R135" s="207" t="s">
        <v>5798</v>
      </c>
      <c r="S135" s="207">
        <f>S134-8</f>
        <v>116</v>
      </c>
      <c r="T135" s="207" t="s">
        <v>5815</v>
      </c>
      <c r="U135" s="207">
        <v>1266</v>
      </c>
      <c r="V135" s="97">
        <f t="shared" si="41"/>
        <v>1397.8998575342468</v>
      </c>
      <c r="W135" s="32">
        <f t="shared" si="55"/>
        <v>1425.8578546849319</v>
      </c>
      <c r="X135" s="32">
        <f t="shared" si="56"/>
        <v>1453.8158518356167</v>
      </c>
      <c r="Y135" s="94"/>
      <c r="Z135" s="94">
        <v>62174</v>
      </c>
      <c r="AA135" s="94"/>
      <c r="AH135" s="20">
        <v>115</v>
      </c>
      <c r="AI135" s="115" t="s">
        <v>4598</v>
      </c>
      <c r="AJ135" s="115">
        <v>404000</v>
      </c>
      <c r="AK135" s="20">
        <v>5</v>
      </c>
      <c r="AL135" s="97">
        <f t="shared" si="57"/>
        <v>780</v>
      </c>
      <c r="AM135" s="115">
        <f t="shared" si="52"/>
        <v>315120000</v>
      </c>
      <c r="AN135" s="20" t="s">
        <v>4605</v>
      </c>
    </row>
    <row r="136" spans="7:43">
      <c r="G136" s="32">
        <f>G134+G135</f>
        <v>7829519.8153310101</v>
      </c>
      <c r="H136" s="32" t="s">
        <v>5453</v>
      </c>
      <c r="I136" s="32">
        <f>I134+I135</f>
        <v>408558.57945454546</v>
      </c>
      <c r="J136" s="112"/>
      <c r="K136" s="94"/>
      <c r="L136" s="94"/>
      <c r="N136" s="94"/>
      <c r="P136" t="s">
        <v>25</v>
      </c>
      <c r="Q136" s="167"/>
      <c r="R136" s="207" t="s">
        <v>5816</v>
      </c>
      <c r="S136" s="207">
        <f>S135-13</f>
        <v>103</v>
      </c>
      <c r="T136" s="207" t="s">
        <v>6512</v>
      </c>
      <c r="U136" s="207">
        <v>1275</v>
      </c>
      <c r="V136" s="97">
        <f t="shared" si="41"/>
        <v>1395.1224657534249</v>
      </c>
      <c r="W136" s="32">
        <f t="shared" si="55"/>
        <v>1423.0249150684933</v>
      </c>
      <c r="X136" s="32">
        <f t="shared" si="56"/>
        <v>1450.927364383562</v>
      </c>
      <c r="Y136" s="94"/>
      <c r="Z136" s="94">
        <v>27674</v>
      </c>
      <c r="AA136" s="94"/>
      <c r="AH136" s="87">
        <v>116</v>
      </c>
      <c r="AI136" s="88" t="s">
        <v>4614</v>
      </c>
      <c r="AJ136" s="88">
        <v>4291628</v>
      </c>
      <c r="AK136" s="87">
        <v>2</v>
      </c>
      <c r="AL136" s="87">
        <f t="shared" si="57"/>
        <v>775</v>
      </c>
      <c r="AM136" s="88">
        <f t="shared" si="52"/>
        <v>3326011700</v>
      </c>
      <c r="AN136" s="87" t="s">
        <v>4615</v>
      </c>
    </row>
    <row r="137" spans="7:43">
      <c r="G137" s="32">
        <f>(W166+W167)/P47</f>
        <v>345314.80950365594</v>
      </c>
      <c r="H137" s="32" t="s">
        <v>5433</v>
      </c>
      <c r="I137" s="32">
        <f>(W166+W167)/P46</f>
        <v>18019.154605008953</v>
      </c>
      <c r="J137" s="112"/>
      <c r="K137" s="94"/>
      <c r="L137" s="94"/>
      <c r="M137" s="94"/>
      <c r="N137" s="94"/>
      <c r="O137" s="94"/>
      <c r="Q137" s="167"/>
      <c r="R137" s="207" t="s">
        <v>5868</v>
      </c>
      <c r="S137" s="207">
        <f>S136-27</f>
        <v>76</v>
      </c>
      <c r="T137" s="207" t="s">
        <v>5869</v>
      </c>
      <c r="U137" s="207">
        <v>15145</v>
      </c>
      <c r="V137" s="97">
        <f t="shared" si="41"/>
        <v>16258.178246575344</v>
      </c>
      <c r="W137" s="32">
        <f t="shared" si="55"/>
        <v>16583.341811506853</v>
      </c>
      <c r="X137" s="32">
        <f t="shared" si="56"/>
        <v>16908.505376438359</v>
      </c>
      <c r="Y137" s="94"/>
      <c r="Z137" s="94"/>
      <c r="AA137" s="94">
        <v>189</v>
      </c>
      <c r="AC137" t="s">
        <v>25</v>
      </c>
      <c r="AH137" s="20">
        <v>117</v>
      </c>
      <c r="AI137" s="115" t="s">
        <v>4617</v>
      </c>
      <c r="AJ137" s="115">
        <v>1000</v>
      </c>
      <c r="AK137" s="20">
        <v>5</v>
      </c>
      <c r="AL137" s="20">
        <f t="shared" si="57"/>
        <v>773</v>
      </c>
      <c r="AM137" s="115">
        <f t="shared" si="52"/>
        <v>773000</v>
      </c>
      <c r="AN137" s="20"/>
    </row>
    <row r="138" spans="7:43">
      <c r="G138" s="32">
        <f>W164/P47</f>
        <v>2687591.5418848908</v>
      </c>
      <c r="H138" s="32" t="s">
        <v>481</v>
      </c>
      <c r="I138" s="32">
        <f>W164/P46</f>
        <v>140243.41318562976</v>
      </c>
      <c r="J138" s="112"/>
      <c r="K138" s="94"/>
      <c r="L138" s="94"/>
      <c r="N138" s="94"/>
      <c r="Q138" s="167"/>
      <c r="R138" s="207" t="s">
        <v>5906</v>
      </c>
      <c r="S138" s="207">
        <f>S137-9</f>
        <v>67</v>
      </c>
      <c r="T138" s="207" t="s">
        <v>5907</v>
      </c>
      <c r="U138" s="207">
        <v>14780</v>
      </c>
      <c r="V138" s="97">
        <f t="shared" si="41"/>
        <v>15764.307506849314</v>
      </c>
      <c r="W138" s="32">
        <f t="shared" si="55"/>
        <v>16079.593656986301</v>
      </c>
      <c r="X138" s="32">
        <f t="shared" si="56"/>
        <v>16394.879807123289</v>
      </c>
      <c r="Y138" s="94"/>
      <c r="Z138" s="94"/>
      <c r="AA138" s="94">
        <v>264</v>
      </c>
      <c r="AH138" s="119">
        <v>118</v>
      </c>
      <c r="AI138" s="77" t="s">
        <v>4625</v>
      </c>
      <c r="AJ138" s="77">
        <v>8739459</v>
      </c>
      <c r="AK138" s="119">
        <v>2</v>
      </c>
      <c r="AL138" s="119">
        <f t="shared" si="57"/>
        <v>768</v>
      </c>
      <c r="AM138" s="77">
        <f t="shared" si="52"/>
        <v>6711904512</v>
      </c>
      <c r="AN138" s="119" t="s">
        <v>4586</v>
      </c>
    </row>
    <row r="139" spans="7:43">
      <c r="G139" s="32">
        <f>G136-G137-G138</f>
        <v>4796613.4639424635</v>
      </c>
      <c r="H139" s="32" t="s">
        <v>5</v>
      </c>
      <c r="I139" s="32">
        <f>I136-I137-I138</f>
        <v>250296.01166390674</v>
      </c>
      <c r="J139" s="112"/>
      <c r="K139" s="94"/>
      <c r="L139" s="94"/>
      <c r="M139" t="s">
        <v>25</v>
      </c>
      <c r="N139" s="94"/>
      <c r="Q139" s="167"/>
      <c r="R139" s="207" t="s">
        <v>6444</v>
      </c>
      <c r="S139" s="207">
        <f>S138-6</f>
        <v>61</v>
      </c>
      <c r="T139" s="207" t="s">
        <v>6445</v>
      </c>
      <c r="U139" s="207">
        <v>1973</v>
      </c>
      <c r="V139" s="97">
        <f t="shared" si="41"/>
        <v>2095.3151890410959</v>
      </c>
      <c r="W139" s="32">
        <f t="shared" ref="W139:W149" si="58">V139*(1+$W$19/100)</f>
        <v>2137.2214928219178</v>
      </c>
      <c r="X139" s="32">
        <f t="shared" ref="X139:X149" si="59">V139*(1+$X$19/100)</f>
        <v>2179.1277966027396</v>
      </c>
      <c r="Y139" s="94"/>
      <c r="Z139" s="94"/>
      <c r="AA139" s="94"/>
      <c r="AH139" s="119">
        <v>119</v>
      </c>
      <c r="AI139" s="77" t="s">
        <v>4626</v>
      </c>
      <c r="AJ139" s="77">
        <v>17595278</v>
      </c>
      <c r="AK139" s="119">
        <v>1</v>
      </c>
      <c r="AL139" s="119">
        <f t="shared" si="57"/>
        <v>766</v>
      </c>
      <c r="AM139" s="77">
        <f t="shared" si="52"/>
        <v>13477982948</v>
      </c>
      <c r="AN139" s="119" t="s">
        <v>4628</v>
      </c>
      <c r="AQ139" t="s">
        <v>25</v>
      </c>
    </row>
    <row r="140" spans="7:43">
      <c r="N140" s="94"/>
      <c r="P140" t="s">
        <v>25</v>
      </c>
      <c r="Q140" s="167"/>
      <c r="R140" s="207" t="s">
        <v>6449</v>
      </c>
      <c r="S140" s="207">
        <f>S139-1</f>
        <v>60</v>
      </c>
      <c r="T140" s="207" t="s">
        <v>6496</v>
      </c>
      <c r="U140" s="207">
        <v>1955</v>
      </c>
      <c r="V140" s="97">
        <f t="shared" si="41"/>
        <v>2074.6995616438358</v>
      </c>
      <c r="W140" s="32">
        <f t="shared" si="58"/>
        <v>2116.1935528767126</v>
      </c>
      <c r="X140" s="32">
        <f t="shared" si="59"/>
        <v>2157.6875441095895</v>
      </c>
      <c r="Y140" s="94"/>
      <c r="Z140" s="94"/>
      <c r="AA140" s="94"/>
      <c r="AH140" s="119">
        <v>120</v>
      </c>
      <c r="AI140" s="77" t="s">
        <v>4627</v>
      </c>
      <c r="AJ140" s="77">
        <v>13335309</v>
      </c>
      <c r="AK140" s="119">
        <v>13</v>
      </c>
      <c r="AL140" s="119">
        <f t="shared" si="57"/>
        <v>765</v>
      </c>
      <c r="AM140" s="77">
        <f t="shared" si="52"/>
        <v>10201511385</v>
      </c>
      <c r="AN140" s="119" t="s">
        <v>4599</v>
      </c>
    </row>
    <row r="141" spans="7:43">
      <c r="N141" s="94"/>
      <c r="Q141" s="167"/>
      <c r="R141" s="207" t="s">
        <v>6458</v>
      </c>
      <c r="S141" s="207">
        <f>S140-1</f>
        <v>59</v>
      </c>
      <c r="T141" s="207" t="s">
        <v>6459</v>
      </c>
      <c r="U141" s="207">
        <v>14341</v>
      </c>
      <c r="V141" s="97">
        <f t="shared" si="41"/>
        <v>15208.060789041096</v>
      </c>
      <c r="W141" s="32">
        <f t="shared" si="58"/>
        <v>15512.222004821917</v>
      </c>
      <c r="X141" s="32">
        <f t="shared" si="59"/>
        <v>15816.38322060274</v>
      </c>
      <c r="Y141" s="94"/>
      <c r="Z141" s="94"/>
      <c r="AA141" s="94">
        <v>4</v>
      </c>
      <c r="AH141" s="159">
        <v>121</v>
      </c>
      <c r="AI141" s="217" t="s">
        <v>4677</v>
      </c>
      <c r="AJ141" s="217">
        <v>50000000</v>
      </c>
      <c r="AK141" s="159">
        <v>11</v>
      </c>
      <c r="AL141" s="159">
        <f t="shared" si="57"/>
        <v>752</v>
      </c>
      <c r="AM141" s="217">
        <f t="shared" si="52"/>
        <v>37600000000</v>
      </c>
      <c r="AN141" s="159" t="s">
        <v>4678</v>
      </c>
      <c r="AP141" t="s">
        <v>25</v>
      </c>
    </row>
    <row r="142" spans="7:43">
      <c r="K142" s="94"/>
      <c r="L142" s="94"/>
      <c r="Q142" s="167"/>
      <c r="R142" s="207" t="s">
        <v>6513</v>
      </c>
      <c r="S142" s="207">
        <f>S141-34</f>
        <v>25</v>
      </c>
      <c r="T142" s="207" t="s">
        <v>6514</v>
      </c>
      <c r="U142" s="207">
        <v>1711</v>
      </c>
      <c r="V142" s="97">
        <f t="shared" ref="V142:V149" si="60">U142*(1+$R$112+$Q$15*S142/36500)</f>
        <v>1769.8208986301372</v>
      </c>
      <c r="W142" s="32">
        <f t="shared" si="58"/>
        <v>1805.2173166027401</v>
      </c>
      <c r="X142" s="32">
        <f t="shared" si="59"/>
        <v>1840.6137345753427</v>
      </c>
      <c r="Y142" s="94"/>
      <c r="Z142" s="94"/>
      <c r="AA142" s="94"/>
      <c r="AH142" s="20">
        <v>122</v>
      </c>
      <c r="AI142" s="115" t="s">
        <v>959</v>
      </c>
      <c r="AJ142" s="115">
        <v>30000</v>
      </c>
      <c r="AK142" s="20">
        <v>3</v>
      </c>
      <c r="AL142" s="20">
        <f t="shared" si="57"/>
        <v>741</v>
      </c>
      <c r="AM142" s="115">
        <f t="shared" si="52"/>
        <v>22230000</v>
      </c>
      <c r="AN142" s="20"/>
    </row>
    <row r="143" spans="7:43">
      <c r="Q143" s="167"/>
      <c r="R143" s="207" t="s">
        <v>6516</v>
      </c>
      <c r="S143" s="207">
        <f>S142-1</f>
        <v>24</v>
      </c>
      <c r="T143" s="207" t="s">
        <v>6517</v>
      </c>
      <c r="U143" s="207">
        <v>1711</v>
      </c>
      <c r="V143" s="97">
        <f t="shared" si="60"/>
        <v>1768.5083506849314</v>
      </c>
      <c r="W143" s="32">
        <f t="shared" si="58"/>
        <v>1803.87851769863</v>
      </c>
      <c r="X143" s="32">
        <f t="shared" si="59"/>
        <v>1839.2486847123287</v>
      </c>
      <c r="Y143" s="94"/>
      <c r="Z143" s="94"/>
      <c r="AA143" s="94"/>
      <c r="AB143" t="s">
        <v>25</v>
      </c>
      <c r="AH143" s="20">
        <v>123</v>
      </c>
      <c r="AI143" s="115" t="s">
        <v>4735</v>
      </c>
      <c r="AJ143" s="115">
        <v>600000</v>
      </c>
      <c r="AK143" s="20">
        <v>1</v>
      </c>
      <c r="AL143" s="20">
        <f t="shared" si="57"/>
        <v>738</v>
      </c>
      <c r="AM143" s="115">
        <f t="shared" si="52"/>
        <v>442800000</v>
      </c>
      <c r="AN143" s="20"/>
    </row>
    <row r="144" spans="7:43">
      <c r="G144" s="32" t="s">
        <v>180</v>
      </c>
      <c r="H144" s="32" t="s">
        <v>5454</v>
      </c>
      <c r="I144" s="207" t="s">
        <v>5455</v>
      </c>
      <c r="J144" s="207" t="s">
        <v>5456</v>
      </c>
      <c r="K144" s="32" t="s">
        <v>5457</v>
      </c>
      <c r="L144" s="97" t="s">
        <v>5471</v>
      </c>
      <c r="M144" s="97" t="s">
        <v>5472</v>
      </c>
      <c r="P144" s="112"/>
      <c r="Q144" s="167"/>
      <c r="R144" s="207" t="s">
        <v>6533</v>
      </c>
      <c r="S144" s="207">
        <f>S143-4</f>
        <v>20</v>
      </c>
      <c r="T144" s="207" t="s">
        <v>6546</v>
      </c>
      <c r="U144" s="207">
        <v>1230.5</v>
      </c>
      <c r="V144" s="97">
        <f t="shared" si="60"/>
        <v>1268.0825041095893</v>
      </c>
      <c r="W144" s="32">
        <f t="shared" si="58"/>
        <v>1293.4441541917811</v>
      </c>
      <c r="X144" s="32">
        <f t="shared" si="59"/>
        <v>1318.8058042739729</v>
      </c>
      <c r="Y144" s="94"/>
      <c r="Z144" s="94">
        <v>434</v>
      </c>
      <c r="AA144" s="94"/>
      <c r="AH144" s="20">
        <v>124</v>
      </c>
      <c r="AI144" s="115" t="s">
        <v>4738</v>
      </c>
      <c r="AJ144" s="115">
        <v>30000</v>
      </c>
      <c r="AK144" s="20">
        <v>3</v>
      </c>
      <c r="AL144" s="20">
        <f t="shared" si="57"/>
        <v>737</v>
      </c>
      <c r="AM144" s="115">
        <f t="shared" si="52"/>
        <v>22110000</v>
      </c>
      <c r="AN144" s="20"/>
    </row>
    <row r="145" spans="5:44">
      <c r="G145" s="32" t="s">
        <v>5446</v>
      </c>
      <c r="H145" s="32">
        <v>3256760</v>
      </c>
      <c r="I145" s="207">
        <v>245992</v>
      </c>
      <c r="J145" s="207">
        <v>2544443</v>
      </c>
      <c r="K145" s="32">
        <v>192693</v>
      </c>
      <c r="L145" s="97">
        <f>H145+J145</f>
        <v>5801203</v>
      </c>
      <c r="M145" s="97">
        <f>I145+K145</f>
        <v>438685</v>
      </c>
      <c r="O145" s="94"/>
      <c r="Q145" s="167"/>
      <c r="R145" s="207" t="s">
        <v>6534</v>
      </c>
      <c r="S145" s="207">
        <f>S144-1</f>
        <v>19</v>
      </c>
      <c r="T145" s="207" t="s">
        <v>6536</v>
      </c>
      <c r="U145" s="207">
        <v>1064</v>
      </c>
      <c r="V145" s="97">
        <f t="shared" si="60"/>
        <v>1095.6809643835616</v>
      </c>
      <c r="W145" s="32">
        <f t="shared" si="58"/>
        <v>1117.5945836712328</v>
      </c>
      <c r="X145" s="32">
        <f t="shared" si="59"/>
        <v>1139.5082029589041</v>
      </c>
      <c r="Y145" s="94">
        <v>700</v>
      </c>
      <c r="Z145" s="94"/>
      <c r="AA145" s="94"/>
      <c r="AH145" s="20">
        <v>125</v>
      </c>
      <c r="AI145" s="115" t="s">
        <v>4744</v>
      </c>
      <c r="AJ145" s="115">
        <v>2250000</v>
      </c>
      <c r="AK145" s="20">
        <v>1</v>
      </c>
      <c r="AL145" s="20">
        <f t="shared" si="57"/>
        <v>734</v>
      </c>
      <c r="AM145" s="115">
        <f>AJ145*AL145</f>
        <v>1651500000</v>
      </c>
      <c r="AN145" s="20"/>
      <c r="AR145" t="s">
        <v>25</v>
      </c>
    </row>
    <row r="146" spans="5:44">
      <c r="G146" s="32" t="s">
        <v>5458</v>
      </c>
      <c r="H146" s="32">
        <v>3245022</v>
      </c>
      <c r="I146" s="207">
        <v>249261</v>
      </c>
      <c r="J146" s="207">
        <v>2532877</v>
      </c>
      <c r="K146" s="32">
        <v>195062</v>
      </c>
      <c r="L146" s="97">
        <f>H146+J146</f>
        <v>5777899</v>
      </c>
      <c r="M146" s="97">
        <f>I146+K146</f>
        <v>444323</v>
      </c>
      <c r="O146" s="94"/>
      <c r="Q146" s="167"/>
      <c r="R146" s="207" t="s">
        <v>6541</v>
      </c>
      <c r="S146" s="207">
        <f>S145-7</f>
        <v>12</v>
      </c>
      <c r="T146" s="207" t="s">
        <v>6542</v>
      </c>
      <c r="U146" s="207">
        <v>1060</v>
      </c>
      <c r="V146" s="97">
        <f t="shared" si="60"/>
        <v>1085.8698082191784</v>
      </c>
      <c r="W146" s="32">
        <f t="shared" si="58"/>
        <v>1107.587204383562</v>
      </c>
      <c r="X146" s="32">
        <f t="shared" si="59"/>
        <v>1129.3046005479455</v>
      </c>
      <c r="Y146" s="94">
        <v>13405</v>
      </c>
      <c r="Z146" s="94"/>
      <c r="AA146" s="94"/>
      <c r="AH146" s="23">
        <v>126</v>
      </c>
      <c r="AI146" s="35" t="s">
        <v>4749</v>
      </c>
      <c r="AJ146" s="35">
        <v>-31412200</v>
      </c>
      <c r="AK146" s="23">
        <v>1</v>
      </c>
      <c r="AL146" s="20">
        <f t="shared" si="57"/>
        <v>733</v>
      </c>
      <c r="AM146" s="35">
        <f>AJ146*AL146</f>
        <v>-23025142600</v>
      </c>
      <c r="AN146" s="23" t="s">
        <v>4737</v>
      </c>
    </row>
    <row r="147" spans="5:44">
      <c r="G147" s="32" t="s">
        <v>5459</v>
      </c>
      <c r="H147" s="32"/>
      <c r="I147" s="207"/>
      <c r="J147" s="207"/>
      <c r="K147" s="32"/>
      <c r="L147" s="97">
        <f>H147+J147</f>
        <v>0</v>
      </c>
      <c r="M147" s="97">
        <f>I147+K147</f>
        <v>0</v>
      </c>
      <c r="O147" s="94"/>
      <c r="Q147" s="167"/>
      <c r="R147" s="207" t="s">
        <v>6544</v>
      </c>
      <c r="S147" s="207">
        <f>S146-1</f>
        <v>11</v>
      </c>
      <c r="T147" s="207" t="s">
        <v>6545</v>
      </c>
      <c r="U147" s="207">
        <v>1052.8</v>
      </c>
      <c r="V147" s="97">
        <f t="shared" si="60"/>
        <v>1077.6864613698631</v>
      </c>
      <c r="W147" s="32">
        <f t="shared" si="58"/>
        <v>1099.2401905972604</v>
      </c>
      <c r="X147" s="32">
        <f t="shared" si="59"/>
        <v>1120.7939198246577</v>
      </c>
      <c r="Y147" s="94">
        <v>392920</v>
      </c>
      <c r="Z147" s="94"/>
      <c r="AA147" s="94"/>
      <c r="AH147" s="20">
        <v>127</v>
      </c>
      <c r="AI147" s="115" t="s">
        <v>4758</v>
      </c>
      <c r="AJ147" s="115">
        <v>70000</v>
      </c>
      <c r="AK147" s="20">
        <v>9</v>
      </c>
      <c r="AL147" s="20">
        <f t="shared" si="57"/>
        <v>732</v>
      </c>
      <c r="AM147" s="115">
        <f>AJ147*AL147</f>
        <v>51240000</v>
      </c>
      <c r="AN147" s="20"/>
    </row>
    <row r="148" spans="5:44">
      <c r="G148" s="32" t="s">
        <v>5460</v>
      </c>
      <c r="H148" s="32"/>
      <c r="I148" s="207"/>
      <c r="J148" s="207"/>
      <c r="K148" s="32"/>
      <c r="L148" s="97">
        <f>H148+J148</f>
        <v>0</v>
      </c>
      <c r="M148" s="97">
        <f>I148+K148</f>
        <v>0</v>
      </c>
      <c r="N148" s="94"/>
      <c r="O148" s="94"/>
      <c r="Q148" s="167"/>
      <c r="R148" s="207" t="s">
        <v>6548</v>
      </c>
      <c r="S148" s="207">
        <f>S147-1</f>
        <v>10</v>
      </c>
      <c r="T148" s="207" t="s">
        <v>6549</v>
      </c>
      <c r="U148" s="207">
        <v>1028.2</v>
      </c>
      <c r="V148" s="97">
        <f t="shared" si="60"/>
        <v>1051.7162016438358</v>
      </c>
      <c r="W148" s="32">
        <f t="shared" si="58"/>
        <v>1072.7505256767126</v>
      </c>
      <c r="X148" s="32">
        <f t="shared" si="59"/>
        <v>1093.7848497095893</v>
      </c>
      <c r="Y148" s="94">
        <v>12000</v>
      </c>
      <c r="Z148" s="94"/>
      <c r="AA148" s="94"/>
      <c r="AB148" s="94"/>
      <c r="AH148" s="97">
        <v>128</v>
      </c>
      <c r="AI148" s="111" t="s">
        <v>4765</v>
      </c>
      <c r="AJ148" s="111">
        <v>20000</v>
      </c>
      <c r="AK148" s="97">
        <v>10</v>
      </c>
      <c r="AL148" s="20">
        <f t="shared" si="57"/>
        <v>723</v>
      </c>
      <c r="AM148" s="115">
        <f>AJ148*AL148</f>
        <v>14460000</v>
      </c>
      <c r="AN148" s="20"/>
      <c r="AP148" t="s">
        <v>25</v>
      </c>
    </row>
    <row r="149" spans="5:44">
      <c r="G149" s="32" t="s">
        <v>5477</v>
      </c>
      <c r="H149" s="32">
        <v>3270584</v>
      </c>
      <c r="I149" s="207">
        <v>250916</v>
      </c>
      <c r="J149" s="207">
        <v>2496979</v>
      </c>
      <c r="K149" s="32">
        <v>203160</v>
      </c>
      <c r="L149" s="97">
        <f>H149+J149</f>
        <v>5767563</v>
      </c>
      <c r="M149" s="97">
        <f>I149+K149</f>
        <v>454076</v>
      </c>
      <c r="N149" s="94"/>
      <c r="O149" s="94"/>
      <c r="Q149" s="167"/>
      <c r="R149" s="207" t="s">
        <v>6551</v>
      </c>
      <c r="S149" s="207">
        <f>S148-4</f>
        <v>6</v>
      </c>
      <c r="T149" s="207" t="s">
        <v>6552</v>
      </c>
      <c r="U149" s="207">
        <v>1028</v>
      </c>
      <c r="V149" s="97">
        <f t="shared" si="60"/>
        <v>1048.3572164383561</v>
      </c>
      <c r="W149" s="32">
        <f t="shared" si="58"/>
        <v>1069.3243607671232</v>
      </c>
      <c r="X149" s="32">
        <f t="shared" si="59"/>
        <v>1090.2915050958904</v>
      </c>
      <c r="Y149" s="94">
        <v>10000</v>
      </c>
      <c r="Z149" s="94"/>
      <c r="AA149" s="94"/>
      <c r="AB149" s="94"/>
      <c r="AH149" s="97">
        <v>129</v>
      </c>
      <c r="AI149" s="111" t="s">
        <v>4785</v>
      </c>
      <c r="AJ149" s="111">
        <v>1000000</v>
      </c>
      <c r="AK149" s="97">
        <v>1</v>
      </c>
      <c r="AL149" s="20">
        <f t="shared" si="57"/>
        <v>713</v>
      </c>
      <c r="AM149" s="115">
        <f>AJ149*AL149</f>
        <v>713000000</v>
      </c>
      <c r="AN149" s="20"/>
    </row>
    <row r="150" spans="5:44">
      <c r="E150" s="121"/>
      <c r="G150" s="32" t="s">
        <v>5478</v>
      </c>
      <c r="H150" s="32">
        <v>3225584</v>
      </c>
      <c r="I150" s="207">
        <v>260042</v>
      </c>
      <c r="J150" s="207">
        <v>2466124</v>
      </c>
      <c r="K150" s="32">
        <v>210439</v>
      </c>
      <c r="L150" s="97">
        <f>H150+J150</f>
        <v>5691708</v>
      </c>
      <c r="M150" s="97">
        <f>I150+K150</f>
        <v>470481</v>
      </c>
      <c r="N150" s="94"/>
      <c r="O150" s="94"/>
      <c r="P150" s="112"/>
      <c r="Q150" s="167"/>
      <c r="R150" s="207" t="s">
        <v>6554</v>
      </c>
      <c r="S150" s="207">
        <f>S149-3</f>
        <v>3</v>
      </c>
      <c r="T150" s="207" t="s">
        <v>6558</v>
      </c>
      <c r="U150" s="207">
        <v>1028</v>
      </c>
      <c r="V150" s="97">
        <f t="shared" ref="V150:V155" si="61">U150*(1+$R$112+$Q$15*S150/36500)</f>
        <v>1045.9914082191781</v>
      </c>
      <c r="W150" s="32">
        <f t="shared" ref="W150:W155" si="62">V150*(1+$W$19/100)</f>
        <v>1066.9112363835616</v>
      </c>
      <c r="X150" s="32">
        <f t="shared" ref="X150:X155" si="63">V150*(1+$X$19/100)</f>
        <v>1087.8310645479453</v>
      </c>
      <c r="Y150" s="94">
        <v>154000</v>
      </c>
      <c r="Z150" s="94"/>
      <c r="AA150" s="94"/>
      <c r="AC150" s="112" t="s">
        <v>25</v>
      </c>
      <c r="AD150" s="112"/>
      <c r="AH150" s="97">
        <v>130</v>
      </c>
      <c r="AI150" s="111" t="s">
        <v>4786</v>
      </c>
      <c r="AJ150" s="111">
        <v>65630227</v>
      </c>
      <c r="AK150" s="97">
        <v>0</v>
      </c>
      <c r="AL150" s="20">
        <f t="shared" si="57"/>
        <v>712</v>
      </c>
      <c r="AM150" s="115">
        <f t="shared" ref="AM150:AM177" si="64">AJ150*AL150</f>
        <v>46728721624</v>
      </c>
      <c r="AN150" s="20" t="s">
        <v>4789</v>
      </c>
      <c r="AP150" t="s">
        <v>25</v>
      </c>
      <c r="AR150" t="s">
        <v>25</v>
      </c>
    </row>
    <row r="151" spans="5:44">
      <c r="G151" s="32" t="s">
        <v>5479</v>
      </c>
      <c r="H151" s="32">
        <v>3271778</v>
      </c>
      <c r="I151" s="207">
        <v>282233</v>
      </c>
      <c r="J151" s="207">
        <v>2458563</v>
      </c>
      <c r="K151" s="32">
        <v>212082</v>
      </c>
      <c r="L151" s="97">
        <f>H151+J151</f>
        <v>5730341</v>
      </c>
      <c r="M151" s="97">
        <f>I151+K151</f>
        <v>494315</v>
      </c>
      <c r="N151" s="94"/>
      <c r="Q151" s="167"/>
      <c r="R151" s="207" t="s">
        <v>6556</v>
      </c>
      <c r="S151" s="207">
        <f>S150-3</f>
        <v>0</v>
      </c>
      <c r="T151" s="207" t="s">
        <v>6557</v>
      </c>
      <c r="U151" s="207">
        <v>1212</v>
      </c>
      <c r="V151" s="97">
        <f t="shared" si="61"/>
        <v>1230.4224000000002</v>
      </c>
      <c r="W151" s="32">
        <f t="shared" si="62"/>
        <v>1255.0308480000001</v>
      </c>
      <c r="X151" s="32">
        <f t="shared" si="63"/>
        <v>1279.6392960000003</v>
      </c>
      <c r="Y151" s="94"/>
      <c r="Z151" s="94">
        <v>845</v>
      </c>
      <c r="AA151" s="94"/>
      <c r="AC151" s="112"/>
      <c r="AH151" s="97">
        <v>131</v>
      </c>
      <c r="AI151" s="111" t="s">
        <v>4786</v>
      </c>
      <c r="AJ151" s="111">
        <v>-3500000</v>
      </c>
      <c r="AK151" s="97">
        <v>6</v>
      </c>
      <c r="AL151" s="20">
        <f t="shared" si="57"/>
        <v>712</v>
      </c>
      <c r="AM151" s="115">
        <f t="shared" si="64"/>
        <v>-2492000000</v>
      </c>
      <c r="AN151" s="20" t="s">
        <v>4788</v>
      </c>
    </row>
    <row r="152" spans="5:44">
      <c r="G152" s="32" t="s">
        <v>5485</v>
      </c>
      <c r="H152" s="32">
        <v>3298939</v>
      </c>
      <c r="I152" s="207">
        <v>281309</v>
      </c>
      <c r="J152" s="207">
        <v>2465538</v>
      </c>
      <c r="K152" s="32">
        <v>210242</v>
      </c>
      <c r="L152" s="97">
        <f>H152+J152</f>
        <v>5764477</v>
      </c>
      <c r="M152" s="97">
        <f>I152+K152</f>
        <v>491551</v>
      </c>
      <c r="N152" s="94"/>
      <c r="P152" s="112"/>
      <c r="Q152" s="167"/>
      <c r="R152" s="207" t="s">
        <v>6563</v>
      </c>
      <c r="S152" s="207">
        <f>S151-4</f>
        <v>-4</v>
      </c>
      <c r="T152" s="207" t="s">
        <v>6565</v>
      </c>
      <c r="U152" s="207">
        <v>21621</v>
      </c>
      <c r="V152" s="97">
        <f t="shared" si="61"/>
        <v>21883.295309589041</v>
      </c>
      <c r="W152" s="32">
        <f t="shared" si="62"/>
        <v>22320.961215780822</v>
      </c>
      <c r="X152" s="32">
        <f t="shared" si="63"/>
        <v>22758.627121972604</v>
      </c>
      <c r="Y152" s="94"/>
      <c r="Z152" s="94"/>
      <c r="AA152" s="94"/>
      <c r="AC152" s="112"/>
      <c r="AD152" s="112"/>
      <c r="AH152" s="97">
        <v>132</v>
      </c>
      <c r="AI152" s="111" t="s">
        <v>4798</v>
      </c>
      <c r="AJ152" s="111">
        <v>2520000</v>
      </c>
      <c r="AK152" s="97">
        <v>12</v>
      </c>
      <c r="AL152" s="20">
        <f t="shared" si="57"/>
        <v>706</v>
      </c>
      <c r="AM152" s="115">
        <f t="shared" si="64"/>
        <v>1779120000</v>
      </c>
      <c r="AN152" s="20"/>
    </row>
    <row r="153" spans="5:44">
      <c r="G153" s="32" t="s">
        <v>5489</v>
      </c>
      <c r="H153" s="32">
        <v>3453903</v>
      </c>
      <c r="I153" s="207">
        <v>259725</v>
      </c>
      <c r="J153" s="207">
        <v>2541096</v>
      </c>
      <c r="K153" s="32">
        <v>191084</v>
      </c>
      <c r="L153" s="97">
        <f>H153+J153</f>
        <v>5994999</v>
      </c>
      <c r="M153" s="97">
        <f>I153+K153</f>
        <v>450809</v>
      </c>
      <c r="N153" s="94"/>
      <c r="P153" s="94"/>
      <c r="Q153" s="167"/>
      <c r="R153" s="207"/>
      <c r="S153" s="207"/>
      <c r="T153" s="207"/>
      <c r="U153" s="207"/>
      <c r="V153" s="97">
        <f t="shared" si="61"/>
        <v>0</v>
      </c>
      <c r="W153" s="32">
        <f t="shared" si="62"/>
        <v>0</v>
      </c>
      <c r="X153" s="32">
        <f t="shared" si="63"/>
        <v>0</v>
      </c>
      <c r="Y153" s="94"/>
      <c r="Z153" s="94"/>
      <c r="AA153" s="94"/>
      <c r="AH153" s="97">
        <v>133</v>
      </c>
      <c r="AI153" s="111" t="s">
        <v>4833</v>
      </c>
      <c r="AJ153" s="111">
        <v>1400000</v>
      </c>
      <c r="AK153" s="97">
        <v>4</v>
      </c>
      <c r="AL153" s="20">
        <f t="shared" si="57"/>
        <v>694</v>
      </c>
      <c r="AM153" s="115">
        <f t="shared" si="64"/>
        <v>971600000</v>
      </c>
      <c r="AN153" s="20"/>
    </row>
    <row r="154" spans="5:44">
      <c r="G154" s="32" t="s">
        <v>6566</v>
      </c>
      <c r="H154" s="32">
        <v>4796613</v>
      </c>
      <c r="I154" s="207">
        <v>250296</v>
      </c>
      <c r="J154" s="207">
        <v>2687591</v>
      </c>
      <c r="K154" s="32">
        <v>140243</v>
      </c>
      <c r="L154" s="97">
        <f>H154+J154</f>
        <v>7484204</v>
      </c>
      <c r="M154" s="97">
        <f>I154+K154</f>
        <v>390539</v>
      </c>
      <c r="N154" s="94"/>
      <c r="Q154" s="167"/>
      <c r="R154" s="207"/>
      <c r="S154" s="207"/>
      <c r="T154" s="207" t="s">
        <v>25</v>
      </c>
      <c r="U154" s="207"/>
      <c r="V154" s="97">
        <f t="shared" si="61"/>
        <v>0</v>
      </c>
      <c r="W154" s="32">
        <f t="shared" si="62"/>
        <v>0</v>
      </c>
      <c r="X154" s="32">
        <f t="shared" si="63"/>
        <v>0</v>
      </c>
      <c r="Y154" s="94"/>
      <c r="Z154" s="94" t="s">
        <v>25</v>
      </c>
      <c r="AA154" s="94"/>
      <c r="AH154" s="97">
        <v>134</v>
      </c>
      <c r="AI154" s="111" t="s">
        <v>4854</v>
      </c>
      <c r="AJ154" s="111">
        <v>1550000</v>
      </c>
      <c r="AK154" s="97">
        <v>2</v>
      </c>
      <c r="AL154" s="20">
        <f t="shared" si="57"/>
        <v>690</v>
      </c>
      <c r="AM154" s="115">
        <f t="shared" si="64"/>
        <v>1069500000</v>
      </c>
      <c r="AN154" s="20"/>
    </row>
    <row r="155" spans="5:44">
      <c r="G155" s="32"/>
      <c r="H155" s="32"/>
      <c r="I155" s="207"/>
      <c r="J155" s="207"/>
      <c r="K155" s="32"/>
      <c r="L155" s="97"/>
      <c r="M155" s="97"/>
      <c r="Q155" s="167"/>
      <c r="R155" s="166"/>
      <c r="S155" s="166"/>
      <c r="T155" s="166" t="s">
        <v>25</v>
      </c>
      <c r="U155" s="166"/>
      <c r="V155" s="97">
        <f t="shared" si="61"/>
        <v>0</v>
      </c>
      <c r="W155" s="32">
        <f t="shared" si="62"/>
        <v>0</v>
      </c>
      <c r="X155" s="32">
        <f t="shared" si="63"/>
        <v>0</v>
      </c>
      <c r="Z155" t="s">
        <v>25</v>
      </c>
      <c r="AA155" s="94"/>
      <c r="AH155" s="97">
        <v>135</v>
      </c>
      <c r="AI155" s="111" t="s">
        <v>4805</v>
      </c>
      <c r="AJ155" s="111">
        <v>250000</v>
      </c>
      <c r="AK155" s="97">
        <v>6</v>
      </c>
      <c r="AL155" s="20">
        <f t="shared" si="57"/>
        <v>688</v>
      </c>
      <c r="AM155" s="115">
        <f t="shared" si="64"/>
        <v>172000000</v>
      </c>
      <c r="AN155" s="20"/>
    </row>
    <row r="156" spans="5:44">
      <c r="G156" s="32"/>
      <c r="H156" s="32"/>
      <c r="I156" s="207"/>
      <c r="J156" s="207"/>
      <c r="K156" s="32"/>
      <c r="L156" s="97">
        <f>H156+J156</f>
        <v>0</v>
      </c>
      <c r="M156" s="97">
        <f>I156+K156</f>
        <v>0</v>
      </c>
      <c r="Q156" s="111">
        <f>SUM(N44:N51)-SUM(Q116:Q155)</f>
        <v>3599628198.36867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7"/>
        <v>682</v>
      </c>
      <c r="AM156" s="115">
        <f t="shared" si="64"/>
        <v>-33095741360</v>
      </c>
      <c r="AN156" s="20" t="s">
        <v>4865</v>
      </c>
    </row>
    <row r="157" spans="5:44">
      <c r="N157" s="112"/>
      <c r="O157" s="94" t="s">
        <v>25</v>
      </c>
      <c r="P157" s="112"/>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7"/>
        <v>668</v>
      </c>
      <c r="AM157" s="115">
        <f t="shared" si="64"/>
        <v>1402800000</v>
      </c>
      <c r="AN157" s="20"/>
    </row>
    <row r="158" spans="5:44">
      <c r="O158" s="94"/>
      <c r="P158" s="112"/>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4"/>
        <v>66700000</v>
      </c>
      <c r="AN158" s="20"/>
    </row>
    <row r="159" spans="5:44">
      <c r="K159" t="s">
        <v>25</v>
      </c>
      <c r="M159" t="s">
        <v>25</v>
      </c>
      <c r="N159" s="112"/>
      <c r="O159" s="94"/>
      <c r="P159" s="112"/>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207" t="s">
        <v>180</v>
      </c>
      <c r="H160" s="207" t="s">
        <v>5470</v>
      </c>
      <c r="I160" t="s">
        <v>5463</v>
      </c>
      <c r="O160" s="94"/>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207" t="s">
        <v>5437</v>
      </c>
      <c r="H161" s="1">
        <v>30000000</v>
      </c>
      <c r="I161" s="309" t="s">
        <v>5464</v>
      </c>
      <c r="M161" t="s">
        <v>25</v>
      </c>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207" t="s">
        <v>5438</v>
      </c>
      <c r="H162" s="1">
        <v>550000</v>
      </c>
      <c r="I162" t="s">
        <v>5465</v>
      </c>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207" t="s">
        <v>5439</v>
      </c>
      <c r="H163" s="1">
        <v>70370000</v>
      </c>
      <c r="I163" t="s">
        <v>4084</v>
      </c>
      <c r="O163" s="94"/>
      <c r="P163" s="112"/>
      <c r="Q163" s="94" t="s">
        <v>25</v>
      </c>
      <c r="R163" s="94"/>
      <c r="S163" s="94"/>
      <c r="T163" s="94"/>
      <c r="U163" s="284" t="s">
        <v>4408</v>
      </c>
      <c r="V163" s="284" t="s">
        <v>4421</v>
      </c>
      <c r="W163" s="284"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207" t="s">
        <v>5440</v>
      </c>
      <c r="H164" s="1">
        <v>1215000</v>
      </c>
      <c r="I164" t="s">
        <v>5466</v>
      </c>
      <c r="P164" s="112"/>
      <c r="Q164" s="94"/>
      <c r="R164" s="94"/>
      <c r="S164" s="94"/>
      <c r="T164" s="120">
        <f>V165-V170</f>
        <v>2664656</v>
      </c>
      <c r="U164" s="284" t="s">
        <v>744</v>
      </c>
      <c r="V164" s="284">
        <v>1493032</v>
      </c>
      <c r="W164" s="88">
        <f>V164*$T$504</f>
        <v>3085355090.0838547</v>
      </c>
      <c r="X164">
        <f>W164*100/$W$170</f>
        <v>34.326362449189801</v>
      </c>
      <c r="Y164" t="s">
        <v>25</v>
      </c>
      <c r="Z164" t="s">
        <v>25</v>
      </c>
      <c r="AA164" t="s">
        <v>25</v>
      </c>
      <c r="AH164" s="97">
        <v>144</v>
      </c>
      <c r="AI164" s="111" t="s">
        <v>4905</v>
      </c>
      <c r="AJ164" s="111">
        <v>2000000</v>
      </c>
      <c r="AK164" s="97">
        <v>0</v>
      </c>
      <c r="AL164" s="20">
        <f t="shared" si="65"/>
        <v>662</v>
      </c>
      <c r="AM164" s="115">
        <f t="shared" si="66"/>
        <v>1324000000</v>
      </c>
      <c r="AN164" s="20"/>
    </row>
    <row r="165" spans="7:43">
      <c r="G165" s="207" t="s">
        <v>5441</v>
      </c>
      <c r="H165" s="1">
        <v>15350000</v>
      </c>
      <c r="I165" s="309" t="s">
        <v>5467</v>
      </c>
      <c r="P165" s="112"/>
      <c r="T165" s="120"/>
      <c r="U165" s="284" t="s">
        <v>4410</v>
      </c>
      <c r="V165" s="284">
        <v>2664656</v>
      </c>
      <c r="W165" s="88">
        <f>V165*$T$504</f>
        <v>5506519587.6059475</v>
      </c>
      <c r="X165" s="94">
        <f>W165*100/$W$170</f>
        <v>61.263219849546608</v>
      </c>
      <c r="Y165" t="s">
        <v>25</v>
      </c>
      <c r="Z165" t="s">
        <v>25</v>
      </c>
      <c r="AA165" t="s">
        <v>25</v>
      </c>
      <c r="AH165" s="97">
        <v>145</v>
      </c>
      <c r="AI165" s="111" t="s">
        <v>4905</v>
      </c>
      <c r="AJ165" s="111">
        <v>360000</v>
      </c>
      <c r="AK165" s="97">
        <v>1</v>
      </c>
      <c r="AL165" s="20">
        <f t="shared" si="65"/>
        <v>662</v>
      </c>
      <c r="AM165" s="115">
        <f t="shared" si="66"/>
        <v>238320000</v>
      </c>
      <c r="AN165" s="20"/>
    </row>
    <row r="166" spans="7:43">
      <c r="G166" s="207" t="s">
        <v>5442</v>
      </c>
      <c r="H166" s="1">
        <v>70000</v>
      </c>
      <c r="I166" t="s">
        <v>5468</v>
      </c>
      <c r="K166" t="s">
        <v>25</v>
      </c>
      <c r="M166" t="s">
        <v>25</v>
      </c>
      <c r="O166" s="112"/>
      <c r="P166" s="112"/>
      <c r="Q166" t="s">
        <v>25</v>
      </c>
      <c r="S166" t="s">
        <v>25</v>
      </c>
      <c r="T166" s="94">
        <f>V164-V170</f>
        <v>1493032</v>
      </c>
      <c r="U166" s="284" t="s">
        <v>4409</v>
      </c>
      <c r="V166" s="284">
        <v>48626</v>
      </c>
      <c r="W166" s="88">
        <f>V166*$T$504</f>
        <v>100485774.3239378</v>
      </c>
      <c r="X166" s="94">
        <f>W166*100/$W$170</f>
        <v>1.1179624418326619</v>
      </c>
      <c r="Y166" t="s">
        <v>25</v>
      </c>
      <c r="AH166" s="97">
        <v>146</v>
      </c>
      <c r="AI166" s="111" t="s">
        <v>4906</v>
      </c>
      <c r="AJ166" s="111">
        <v>3000000</v>
      </c>
      <c r="AK166" s="97">
        <v>1</v>
      </c>
      <c r="AL166" s="20">
        <f t="shared" si="65"/>
        <v>661</v>
      </c>
      <c r="AM166" s="115">
        <f t="shared" si="66"/>
        <v>1983000000</v>
      </c>
      <c r="AN166" s="20"/>
    </row>
    <row r="167" spans="7:43">
      <c r="G167" s="207" t="s">
        <v>5446</v>
      </c>
      <c r="H167" s="1">
        <v>800000</v>
      </c>
      <c r="I167" t="s">
        <v>5469</v>
      </c>
      <c r="O167" s="112"/>
      <c r="P167" s="112"/>
      <c r="Q167" t="s">
        <v>25</v>
      </c>
      <c r="T167" s="94"/>
      <c r="U167" s="284" t="s">
        <v>1071</v>
      </c>
      <c r="V167" s="284">
        <v>143206</v>
      </c>
      <c r="W167" s="88">
        <f>V167*$T$504</f>
        <v>295935626.98625916</v>
      </c>
      <c r="X167" s="94">
        <f>W167*100/$W$170</f>
        <v>3.2924552594309255</v>
      </c>
      <c r="Z167" t="s">
        <v>25</v>
      </c>
      <c r="AH167" s="97">
        <v>147</v>
      </c>
      <c r="AI167" s="111" t="s">
        <v>4904</v>
      </c>
      <c r="AJ167" s="111">
        <v>-658226</v>
      </c>
      <c r="AK167" s="97">
        <v>1</v>
      </c>
      <c r="AL167" s="20">
        <f t="shared" si="65"/>
        <v>660</v>
      </c>
      <c r="AM167" s="115">
        <f t="shared" si="66"/>
        <v>-434429160</v>
      </c>
      <c r="AN167" s="20"/>
    </row>
    <row r="168" spans="7:43">
      <c r="G168" s="207" t="s">
        <v>5458</v>
      </c>
      <c r="H168" s="1">
        <v>1948000</v>
      </c>
      <c r="O168" s="112"/>
      <c r="P168" s="112"/>
      <c r="T168" s="94"/>
      <c r="U168" s="284"/>
      <c r="V168" s="284"/>
      <c r="W168" s="284"/>
      <c r="X168" s="113"/>
      <c r="Y168" t="s">
        <v>25</v>
      </c>
      <c r="AH168" s="97">
        <v>148</v>
      </c>
      <c r="AI168" s="111" t="s">
        <v>4909</v>
      </c>
      <c r="AJ168" s="111">
        <v>1000000</v>
      </c>
      <c r="AK168" s="97">
        <v>15</v>
      </c>
      <c r="AL168" s="20">
        <f t="shared" si="65"/>
        <v>659</v>
      </c>
      <c r="AM168" s="115">
        <f t="shared" si="66"/>
        <v>659000000</v>
      </c>
      <c r="AN168" s="20"/>
      <c r="AP168" t="s">
        <v>25</v>
      </c>
    </row>
    <row r="169" spans="7:43">
      <c r="G169" s="207" t="s">
        <v>5483</v>
      </c>
      <c r="H169" s="1">
        <v>5745697.3157000002</v>
      </c>
      <c r="P169" s="112"/>
      <c r="Q169" t="s">
        <v>25</v>
      </c>
      <c r="S169" t="s">
        <v>25</v>
      </c>
      <c r="T169" s="94" t="s">
        <v>25</v>
      </c>
      <c r="U169" s="87"/>
      <c r="V169" s="87">
        <f>SUM(V164:V167)</f>
        <v>4349520</v>
      </c>
      <c r="W169" s="87"/>
      <c r="X169" s="112" t="s">
        <v>25</v>
      </c>
      <c r="Y169" t="s">
        <v>25</v>
      </c>
      <c r="Z169" t="s">
        <v>25</v>
      </c>
      <c r="AH169" s="97">
        <v>149</v>
      </c>
      <c r="AI169" s="111" t="s">
        <v>4934</v>
      </c>
      <c r="AJ169" s="111">
        <v>1130250</v>
      </c>
      <c r="AK169" s="97">
        <v>5</v>
      </c>
      <c r="AL169" s="20">
        <f t="shared" si="57"/>
        <v>644</v>
      </c>
      <c r="AM169" s="115">
        <f t="shared" si="64"/>
        <v>727881000</v>
      </c>
      <c r="AN169" s="20"/>
    </row>
    <row r="170" spans="7:43">
      <c r="G170" s="207" t="s">
        <v>5484</v>
      </c>
      <c r="H170" s="1">
        <v>908158.17935999995</v>
      </c>
      <c r="O170" s="112"/>
      <c r="P170" s="112"/>
      <c r="Q170" s="94" t="s">
        <v>25</v>
      </c>
      <c r="R170" s="94"/>
      <c r="S170" s="94" t="s">
        <v>25</v>
      </c>
      <c r="T170" s="94" t="s">
        <v>25</v>
      </c>
      <c r="U170" s="87"/>
      <c r="V170" s="87">
        <f>V169-U501</f>
        <v>0</v>
      </c>
      <c r="W170" s="140">
        <f>SUM(W164:W167)</f>
        <v>8988296079</v>
      </c>
      <c r="X170" s="94"/>
      <c r="Y170" t="s">
        <v>25</v>
      </c>
      <c r="Z170" t="s">
        <v>25</v>
      </c>
      <c r="AE170" s="94" t="s">
        <v>25</v>
      </c>
      <c r="AH170" s="97">
        <v>150</v>
      </c>
      <c r="AI170" s="111" t="s">
        <v>4942</v>
      </c>
      <c r="AJ170" s="111">
        <v>206000</v>
      </c>
      <c r="AK170" s="97">
        <v>2</v>
      </c>
      <c r="AL170" s="20">
        <f t="shared" si="57"/>
        <v>639</v>
      </c>
      <c r="AM170" s="115">
        <f t="shared" si="64"/>
        <v>131634000</v>
      </c>
      <c r="AN170" s="20"/>
    </row>
    <row r="171" spans="7:43">
      <c r="G171" s="207" t="s">
        <v>5485</v>
      </c>
      <c r="H171" s="1">
        <v>12642697.648548001</v>
      </c>
      <c r="O171" s="112"/>
      <c r="P171" s="112"/>
      <c r="Q171" s="94"/>
      <c r="R171" s="94"/>
      <c r="S171" s="94"/>
      <c r="T171" s="94" t="s">
        <v>25</v>
      </c>
      <c r="U171" s="87"/>
      <c r="V171" s="87" t="s">
        <v>5850</v>
      </c>
      <c r="W171" s="140">
        <f>R182-W167</f>
        <v>118127265.01374084</v>
      </c>
      <c r="X171" s="94"/>
      <c r="Y171" t="s">
        <v>25</v>
      </c>
      <c r="Z171" t="s">
        <v>25</v>
      </c>
      <c r="AA171" t="s">
        <v>25</v>
      </c>
      <c r="AH171" s="97">
        <v>151</v>
      </c>
      <c r="AI171" s="111" t="s">
        <v>4949</v>
      </c>
      <c r="AJ171" s="111">
        <v>50000</v>
      </c>
      <c r="AK171" s="97">
        <v>2</v>
      </c>
      <c r="AL171" s="20">
        <f t="shared" si="57"/>
        <v>637</v>
      </c>
      <c r="AM171" s="115">
        <f t="shared" si="64"/>
        <v>31850000</v>
      </c>
      <c r="AN171" s="20"/>
    </row>
    <row r="172" spans="7:43">
      <c r="G172" s="207" t="s">
        <v>5486</v>
      </c>
      <c r="H172" s="1">
        <v>12297318</v>
      </c>
      <c r="I172" t="s">
        <v>25</v>
      </c>
      <c r="P172" s="112"/>
      <c r="Q172" s="94" t="s">
        <v>25</v>
      </c>
      <c r="R172" s="94"/>
      <c r="S172" s="94"/>
      <c r="T172" s="94" t="s">
        <v>25</v>
      </c>
      <c r="U172" s="87"/>
      <c r="V172" s="87" t="s">
        <v>5849</v>
      </c>
      <c r="W172" s="140">
        <f>W166-W171</f>
        <v>-17641490.689803034</v>
      </c>
      <c r="X172" s="94"/>
      <c r="Z172" t="s">
        <v>25</v>
      </c>
      <c r="AH172" s="97">
        <v>152</v>
      </c>
      <c r="AI172" s="111" t="s">
        <v>4953</v>
      </c>
      <c r="AJ172" s="111">
        <v>105000</v>
      </c>
      <c r="AK172" s="97">
        <v>4</v>
      </c>
      <c r="AL172" s="20">
        <f t="shared" si="57"/>
        <v>635</v>
      </c>
      <c r="AM172" s="115">
        <f t="shared" si="64"/>
        <v>66675000</v>
      </c>
      <c r="AN172" s="20"/>
    </row>
    <row r="173" spans="7:43">
      <c r="G173" s="207" t="s">
        <v>5487</v>
      </c>
      <c r="H173" s="1">
        <v>8959644</v>
      </c>
      <c r="P173" s="112"/>
      <c r="Q173" s="94" t="s">
        <v>25</v>
      </c>
      <c r="R173" s="94"/>
      <c r="S173" s="94"/>
      <c r="T173" s="94"/>
      <c r="U173" s="87"/>
      <c r="V173" s="87" t="s">
        <v>4929</v>
      </c>
      <c r="W173" s="140">
        <f>W164+W172-R181</f>
        <v>-29167039.605948448</v>
      </c>
      <c r="X173" s="94"/>
      <c r="Y173" t="s">
        <v>25</v>
      </c>
      <c r="AH173" s="97">
        <v>153</v>
      </c>
      <c r="AI173" s="111" t="s">
        <v>4957</v>
      </c>
      <c r="AJ173" s="111">
        <v>5000000</v>
      </c>
      <c r="AK173" s="97">
        <v>1</v>
      </c>
      <c r="AL173" s="20">
        <f t="shared" si="57"/>
        <v>631</v>
      </c>
      <c r="AM173" s="115">
        <f t="shared" si="64"/>
        <v>3155000000</v>
      </c>
      <c r="AN173" s="20"/>
    </row>
    <row r="174" spans="7:43">
      <c r="G174" s="207" t="s">
        <v>5488</v>
      </c>
      <c r="H174" s="111">
        <v>15154095.839328</v>
      </c>
      <c r="P174" s="112"/>
      <c r="Q174" s="94"/>
      <c r="R174" s="94"/>
      <c r="S174" s="94"/>
      <c r="T174" s="94"/>
      <c r="U174" s="87"/>
      <c r="V174" s="87"/>
      <c r="W174" s="140"/>
      <c r="X174" s="113"/>
      <c r="Y174" t="s">
        <v>25</v>
      </c>
      <c r="AH174" s="97">
        <v>154</v>
      </c>
      <c r="AI174" s="111" t="s">
        <v>4958</v>
      </c>
      <c r="AJ174" s="111">
        <v>2500000</v>
      </c>
      <c r="AK174" s="97">
        <v>2</v>
      </c>
      <c r="AL174" s="20">
        <f t="shared" si="57"/>
        <v>630</v>
      </c>
      <c r="AM174" s="115">
        <f t="shared" si="64"/>
        <v>1575000000</v>
      </c>
      <c r="AN174" s="20"/>
    </row>
    <row r="175" spans="7:43">
      <c r="G175" s="207" t="s">
        <v>5493</v>
      </c>
      <c r="H175" s="111">
        <v>4108143</v>
      </c>
      <c r="P175" s="112"/>
      <c r="Q175" s="94"/>
      <c r="R175" s="94"/>
      <c r="S175" s="94"/>
      <c r="T175" s="94"/>
      <c r="V175" s="94"/>
      <c r="Y175" t="s">
        <v>25</v>
      </c>
      <c r="AH175" s="250">
        <v>155</v>
      </c>
      <c r="AI175" s="246" t="s">
        <v>4964</v>
      </c>
      <c r="AJ175" s="246">
        <v>-50000000</v>
      </c>
      <c r="AK175" s="250">
        <v>7</v>
      </c>
      <c r="AL175" s="250">
        <f t="shared" si="57"/>
        <v>628</v>
      </c>
      <c r="AM175" s="246">
        <f t="shared" si="64"/>
        <v>-31400000000</v>
      </c>
      <c r="AN175" s="250" t="s">
        <v>4972</v>
      </c>
    </row>
    <row r="176" spans="7:43">
      <c r="G176" s="207" t="s">
        <v>5495</v>
      </c>
      <c r="H176" s="111">
        <v>6000000</v>
      </c>
      <c r="P176" s="112"/>
      <c r="Q176" s="94"/>
      <c r="R176" s="94"/>
      <c r="S176" s="94"/>
      <c r="T176" s="94" t="s">
        <v>25</v>
      </c>
      <c r="V176" s="94"/>
      <c r="AH176" s="97">
        <v>156</v>
      </c>
      <c r="AI176" s="111" t="s">
        <v>4970</v>
      </c>
      <c r="AJ176" s="111">
        <v>10000000</v>
      </c>
      <c r="AK176" s="97">
        <v>12</v>
      </c>
      <c r="AL176" s="20">
        <f t="shared" si="57"/>
        <v>621</v>
      </c>
      <c r="AM176" s="115">
        <f t="shared" si="64"/>
        <v>6210000000</v>
      </c>
      <c r="AN176" s="20" t="s">
        <v>4678</v>
      </c>
    </row>
    <row r="177" spans="5:43">
      <c r="G177" s="207" t="s">
        <v>5499</v>
      </c>
      <c r="H177" s="111">
        <v>8301786</v>
      </c>
      <c r="I177" t="s">
        <v>25</v>
      </c>
      <c r="P177" s="112"/>
      <c r="S177" s="94"/>
      <c r="T177" s="94"/>
      <c r="V177" s="94"/>
      <c r="AH177" s="97">
        <v>157</v>
      </c>
      <c r="AI177" s="111" t="s">
        <v>4977</v>
      </c>
      <c r="AJ177" s="111">
        <v>-16266000</v>
      </c>
      <c r="AK177" s="97">
        <v>1</v>
      </c>
      <c r="AL177" s="20">
        <f t="shared" si="57"/>
        <v>609</v>
      </c>
      <c r="AM177" s="115">
        <f t="shared" si="64"/>
        <v>-9905994000</v>
      </c>
      <c r="AN177" s="20" t="s">
        <v>4985</v>
      </c>
      <c r="AQ177" t="s">
        <v>25</v>
      </c>
    </row>
    <row r="178" spans="5:43">
      <c r="G178" s="207" t="s">
        <v>5503</v>
      </c>
      <c r="H178" s="111">
        <v>50725508.571864001</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G180" s="207" t="s">
        <v>5511</v>
      </c>
      <c r="H180" s="111">
        <v>10998285</v>
      </c>
      <c r="P180" s="112"/>
      <c r="Q180" s="36" t="s">
        <v>4515</v>
      </c>
      <c r="R180" s="93">
        <f>SUM(N44:N51)</f>
        <v>5477345217</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4411</v>
      </c>
      <c r="R181" s="93">
        <f>SUM(N21:N25)</f>
        <v>3096880639</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t="s">
        <v>4412</v>
      </c>
      <c r="R182" s="93">
        <f>SUM(N28:N31)</f>
        <v>414062892</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4413</v>
      </c>
      <c r="R183" s="93">
        <f>N42</f>
        <v>6493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4212</v>
      </c>
      <c r="H184" s="111">
        <v>6982608.8207999999</v>
      </c>
      <c r="I184" s="94"/>
      <c r="O184" t="s">
        <v>25</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5538</v>
      </c>
      <c r="H185" s="111">
        <v>7510131.0216000006</v>
      </c>
      <c r="I185" s="94"/>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5544</v>
      </c>
      <c r="H186" s="111">
        <v>10397191</v>
      </c>
      <c r="J186" t="s">
        <v>25</v>
      </c>
      <c r="O186" t="s">
        <v>25</v>
      </c>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5553</v>
      </c>
      <c r="H187" s="111">
        <v>195059.35799999998</v>
      </c>
      <c r="J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5558</v>
      </c>
      <c r="H188" s="111">
        <v>744082</v>
      </c>
      <c r="P188" s="112"/>
      <c r="Q188" s="97" t="s">
        <v>6547</v>
      </c>
      <c r="R188" s="93">
        <v>-771</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5560</v>
      </c>
      <c r="H189" s="111">
        <v>920308.446</v>
      </c>
      <c r="K189" t="s">
        <v>25</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5561</v>
      </c>
      <c r="H190" s="111">
        <v>4635809.8416840006</v>
      </c>
      <c r="J190" t="s">
        <v>25</v>
      </c>
      <c r="P190" s="112"/>
      <c r="Q190" s="36" t="s">
        <v>6543</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5591</v>
      </c>
      <c r="H191" s="111">
        <v>58508002.009000003</v>
      </c>
      <c r="J191" t="s">
        <v>25</v>
      </c>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t="s">
        <v>4419</v>
      </c>
      <c r="R195" s="93">
        <f>SUM(R180:R194)</f>
        <v>8988296079</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5603</v>
      </c>
      <c r="H196" s="111">
        <v>2362539.4373280001</v>
      </c>
      <c r="J196" t="s">
        <v>25</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5604</v>
      </c>
      <c r="H197" s="111">
        <v>16042676.656608</v>
      </c>
      <c r="P197" s="112"/>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5605</v>
      </c>
      <c r="H198" s="111">
        <v>18403291.448284</v>
      </c>
      <c r="O198" t="s">
        <v>25</v>
      </c>
      <c r="P198" s="112"/>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5608</v>
      </c>
      <c r="H199" s="111">
        <v>10561447.246918</v>
      </c>
      <c r="P199" s="112"/>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5609</v>
      </c>
      <c r="H200" s="111">
        <v>1226811.9176660001</v>
      </c>
      <c r="J200" t="s">
        <v>25</v>
      </c>
      <c r="K200" t="s">
        <v>25</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5610</v>
      </c>
      <c r="H201" s="111">
        <v>39373959.190266006</v>
      </c>
      <c r="J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5615</v>
      </c>
      <c r="H202" s="111">
        <v>27703487.063980002</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5616</v>
      </c>
      <c r="H203" s="111">
        <v>8738896.6890719999</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4185</v>
      </c>
      <c r="H204" s="111">
        <v>348201.66738</v>
      </c>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5618</v>
      </c>
      <c r="H205" s="111">
        <v>4158090.8935679998</v>
      </c>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5622</v>
      </c>
      <c r="H206" s="111">
        <v>110770524.97879399</v>
      </c>
      <c r="O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5634</v>
      </c>
      <c r="H207" s="111">
        <v>6684147.0064600008</v>
      </c>
      <c r="J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5637</v>
      </c>
      <c r="H208" s="111">
        <v>1826535.2307560001</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6:46">
      <c r="G209" s="207" t="s">
        <v>5641</v>
      </c>
      <c r="H209" s="111">
        <v>3577366.94</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6:46">
      <c r="G210" s="207" t="s">
        <v>5643</v>
      </c>
      <c r="H210" s="111">
        <v>21239029.173567999</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6:46">
      <c r="G211" s="207" t="s">
        <v>5647</v>
      </c>
      <c r="H211" s="111">
        <v>242957252.40163299</v>
      </c>
      <c r="J211" t="s">
        <v>25</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6:46">
      <c r="G212" s="207" t="s">
        <v>5651</v>
      </c>
      <c r="H212" s="111">
        <v>7357181.2750800001</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6:46">
      <c r="G213" s="207" t="s">
        <v>5653</v>
      </c>
      <c r="H213" s="111">
        <v>14951411.942400001</v>
      </c>
      <c r="J213" t="s">
        <v>25</v>
      </c>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6:46">
      <c r="G214" s="207" t="s">
        <v>5657</v>
      </c>
      <c r="H214" s="111">
        <v>47928209.377011999</v>
      </c>
      <c r="J214" t="s">
        <v>25</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6:46">
      <c r="G215" s="207" t="s">
        <v>5659</v>
      </c>
      <c r="H215" s="111">
        <v>2281595.69937</v>
      </c>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6:46">
      <c r="G216" s="207" t="s">
        <v>5661</v>
      </c>
      <c r="H216" s="111">
        <v>2964916.035069</v>
      </c>
      <c r="P216" s="112"/>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6:46">
      <c r="G217" s="207" t="s">
        <v>5662</v>
      </c>
      <c r="H217" s="111">
        <v>6460549.4269619994</v>
      </c>
      <c r="K217" t="s">
        <v>25</v>
      </c>
      <c r="P217" s="112"/>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6:46">
      <c r="G218" s="207" t="s">
        <v>5664</v>
      </c>
      <c r="H218" s="111">
        <v>5212319.8968359996</v>
      </c>
      <c r="P218" s="112"/>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6:46">
      <c r="G219" s="207" t="s">
        <v>5667</v>
      </c>
      <c r="H219" s="111">
        <v>4524496.4792809999</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6:46">
      <c r="G220" s="207" t="s">
        <v>5669</v>
      </c>
      <c r="H220" s="111">
        <v>22866040.240959998</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6:46">
      <c r="G221" s="207" t="s">
        <v>5671</v>
      </c>
      <c r="H221" s="111">
        <v>15359304.269892</v>
      </c>
      <c r="J221" t="s">
        <v>25</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6:46">
      <c r="G222" s="207" t="s">
        <v>5673</v>
      </c>
      <c r="H222" s="111">
        <v>2868508.1846330003</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6:46">
      <c r="G223" s="207" t="s">
        <v>5674</v>
      </c>
      <c r="H223" s="111">
        <v>17450393.011856001</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6:46" ht="28.5" customHeight="1">
      <c r="F224" s="94"/>
      <c r="G224" s="207" t="s">
        <v>5675</v>
      </c>
      <c r="H224" s="111">
        <v>31388943.254850004</v>
      </c>
      <c r="J224" t="s">
        <v>25</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F225" s="94"/>
      <c r="G225" s="207" t="s">
        <v>5676</v>
      </c>
      <c r="H225" s="111">
        <v>30912095.373174001</v>
      </c>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F226" s="94"/>
      <c r="G226" s="207" t="s">
        <v>5678</v>
      </c>
      <c r="H226" s="111">
        <v>19602926.115093999</v>
      </c>
      <c r="K226" t="s">
        <v>25</v>
      </c>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5682</v>
      </c>
      <c r="H227" s="111">
        <v>34458590.308710001</v>
      </c>
      <c r="P227" s="112"/>
      <c r="Q227" s="187" t="s">
        <v>5535</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5684</v>
      </c>
      <c r="H228" s="111">
        <v>21697868.203256</v>
      </c>
      <c r="P228" s="112"/>
      <c r="Q228" s="19" t="s">
        <v>5547</v>
      </c>
      <c r="R228" s="19" t="s">
        <v>5544</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5686</v>
      </c>
      <c r="H229" s="111">
        <v>25340079.252110001</v>
      </c>
      <c r="Q229" s="187" t="s">
        <v>5914</v>
      </c>
      <c r="R229" s="187" t="s">
        <v>5619</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5687</v>
      </c>
      <c r="H230" s="111">
        <v>14780983.183526</v>
      </c>
      <c r="Q230" s="19" t="s">
        <v>4947</v>
      </c>
      <c r="R230" s="19" t="s">
        <v>5619</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G231" s="207" t="s">
        <v>5690</v>
      </c>
      <c r="H231" s="111">
        <v>17804396.448481999</v>
      </c>
      <c r="Q231" s="187" t="s">
        <v>5633</v>
      </c>
      <c r="R231" s="187" t="s">
        <v>5619</v>
      </c>
      <c r="S231" s="186">
        <v>15000000</v>
      </c>
      <c r="T231" s="207" t="s">
        <v>4758</v>
      </c>
      <c r="U231" s="207">
        <v>1087</v>
      </c>
      <c r="V231" s="111">
        <v>273.79649999999998</v>
      </c>
      <c r="W231" s="111">
        <f t="shared" si="67"/>
        <v>297616.79550000001</v>
      </c>
      <c r="X231" s="97" t="s">
        <v>452</v>
      </c>
      <c r="AH231" s="97">
        <v>211</v>
      </c>
      <c r="AI231" s="111" t="s">
        <v>5442</v>
      </c>
      <c r="AJ231" s="111">
        <v>2050000</v>
      </c>
      <c r="AK231" s="97">
        <v>7</v>
      </c>
      <c r="AL231" s="20">
        <f t="shared" si="74"/>
        <v>297</v>
      </c>
      <c r="AM231" s="115">
        <f t="shared" si="75"/>
        <v>608850000</v>
      </c>
      <c r="AN231" s="20"/>
      <c r="AR231" t="s">
        <v>25</v>
      </c>
      <c r="AS231" t="s">
        <v>25</v>
      </c>
    </row>
    <row r="232" spans="4:45">
      <c r="D232" s="94"/>
      <c r="E232" s="94"/>
      <c r="G232" s="207" t="s">
        <v>5694</v>
      </c>
      <c r="H232" s="111">
        <v>11538335.631417999</v>
      </c>
      <c r="Q232" s="187" t="s">
        <v>5649</v>
      </c>
      <c r="R232" s="187" t="s">
        <v>5643</v>
      </c>
      <c r="S232" s="186">
        <v>-1500000</v>
      </c>
      <c r="T232" s="207" t="s">
        <v>966</v>
      </c>
      <c r="U232" s="207">
        <v>-4017</v>
      </c>
      <c r="V232" s="111">
        <v>273.79649999999998</v>
      </c>
      <c r="W232" s="111">
        <f t="shared" si="67"/>
        <v>-1099840.5404999999</v>
      </c>
      <c r="X232" s="97" t="s">
        <v>4409</v>
      </c>
      <c r="AH232" s="97">
        <v>212</v>
      </c>
      <c r="AI232" s="111" t="s">
        <v>5459</v>
      </c>
      <c r="AJ232" s="111">
        <v>50000000</v>
      </c>
      <c r="AK232" s="97">
        <v>24</v>
      </c>
      <c r="AL232" s="20">
        <f t="shared" si="74"/>
        <v>290</v>
      </c>
      <c r="AM232" s="115">
        <f t="shared" si="75"/>
        <v>14500000000</v>
      </c>
      <c r="AN232" s="20" t="s">
        <v>4678</v>
      </c>
    </row>
    <row r="233" spans="4:45">
      <c r="D233" s="94"/>
      <c r="E233" s="94"/>
      <c r="G233" s="207" t="s">
        <v>5695</v>
      </c>
      <c r="H233" s="111">
        <v>12429517.767776001</v>
      </c>
      <c r="Q233" s="187" t="s">
        <v>5732</v>
      </c>
      <c r="R233" s="187" t="s">
        <v>5729</v>
      </c>
      <c r="S233" s="186">
        <v>-70000</v>
      </c>
      <c r="T233" s="207" t="s">
        <v>966</v>
      </c>
      <c r="U233" s="207">
        <v>4017</v>
      </c>
      <c r="V233" s="111">
        <v>273.79649999999998</v>
      </c>
      <c r="W233" s="111">
        <f t="shared" si="67"/>
        <v>1099840.5404999999</v>
      </c>
      <c r="X233" s="97" t="s">
        <v>452</v>
      </c>
      <c r="AH233" s="97">
        <v>213</v>
      </c>
      <c r="AI233" s="111" t="s">
        <v>5495</v>
      </c>
      <c r="AJ233" s="111">
        <v>-58196600</v>
      </c>
      <c r="AK233" s="97">
        <v>22</v>
      </c>
      <c r="AL233" s="20">
        <f t="shared" si="74"/>
        <v>266</v>
      </c>
      <c r="AM233" s="115">
        <f t="shared" si="75"/>
        <v>-15480295600</v>
      </c>
      <c r="AN233" s="20" t="s">
        <v>4865</v>
      </c>
    </row>
    <row r="234" spans="4:45">
      <c r="G234" s="207" t="s">
        <v>5703</v>
      </c>
      <c r="H234" s="111">
        <v>5031176.5087869996</v>
      </c>
      <c r="J234" t="s">
        <v>25</v>
      </c>
      <c r="Q234" s="187" t="s">
        <v>5739</v>
      </c>
      <c r="R234" s="187" t="s">
        <v>5736</v>
      </c>
      <c r="S234" s="186">
        <v>1300000</v>
      </c>
      <c r="T234" s="207" t="s">
        <v>4765</v>
      </c>
      <c r="U234" s="207">
        <v>3137</v>
      </c>
      <c r="V234" s="111">
        <v>283.69110000000001</v>
      </c>
      <c r="W234" s="111">
        <f t="shared" si="67"/>
        <v>889938.98070000007</v>
      </c>
      <c r="X234" s="97" t="s">
        <v>452</v>
      </c>
      <c r="Y234" t="s">
        <v>25</v>
      </c>
      <c r="AH234" s="97">
        <v>214</v>
      </c>
      <c r="AI234" s="111" t="s">
        <v>5537</v>
      </c>
      <c r="AJ234" s="111">
        <v>25000</v>
      </c>
      <c r="AK234" s="97">
        <v>8</v>
      </c>
      <c r="AL234" s="20">
        <f t="shared" si="74"/>
        <v>244</v>
      </c>
      <c r="AM234" s="115">
        <f t="shared" si="75"/>
        <v>6100000</v>
      </c>
      <c r="AN234" s="20"/>
    </row>
    <row r="235" spans="4:45">
      <c r="G235" s="207" t="s">
        <v>5705</v>
      </c>
      <c r="H235" s="111">
        <v>6822803.9080700008</v>
      </c>
      <c r="J235" t="s">
        <v>25</v>
      </c>
      <c r="Q235" s="187" t="s">
        <v>60</v>
      </c>
      <c r="R235" s="187" t="s">
        <v>5748</v>
      </c>
      <c r="S235" s="186">
        <v>90000000</v>
      </c>
      <c r="T235" s="207" t="s">
        <v>4778</v>
      </c>
      <c r="U235" s="207">
        <v>101933</v>
      </c>
      <c r="V235" s="111">
        <v>294.30973999999998</v>
      </c>
      <c r="W235" s="111">
        <f t="shared" si="67"/>
        <v>29999874.727419998</v>
      </c>
      <c r="X235" s="97" t="s">
        <v>1071</v>
      </c>
      <c r="Y235" t="s">
        <v>25</v>
      </c>
      <c r="AH235" s="97">
        <v>215</v>
      </c>
      <c r="AI235" s="111" t="s">
        <v>5558</v>
      </c>
      <c r="AJ235" s="111">
        <v>70000</v>
      </c>
      <c r="AK235" s="97">
        <v>6</v>
      </c>
      <c r="AL235" s="20">
        <f t="shared" si="74"/>
        <v>236</v>
      </c>
      <c r="AM235" s="115">
        <f t="shared" si="75"/>
        <v>16520000</v>
      </c>
      <c r="AN235" s="20"/>
    </row>
    <row r="236" spans="4:45">
      <c r="G236" s="207" t="s">
        <v>5709</v>
      </c>
      <c r="H236" s="111">
        <v>330889.73324399994</v>
      </c>
      <c r="Q236" s="187" t="s">
        <v>5844</v>
      </c>
      <c r="R236" s="187" t="s">
        <v>5840</v>
      </c>
      <c r="S236" s="186">
        <v>33832510.64875</v>
      </c>
      <c r="T236" s="207" t="s">
        <v>4785</v>
      </c>
      <c r="U236" s="207">
        <v>3407</v>
      </c>
      <c r="V236" s="111">
        <v>293.43799999999999</v>
      </c>
      <c r="W236" s="111">
        <f t="shared" si="67"/>
        <v>999743.26599999995</v>
      </c>
      <c r="X236" s="97" t="s">
        <v>452</v>
      </c>
      <c r="AH236" s="97">
        <v>216</v>
      </c>
      <c r="AI236" s="111" t="s">
        <v>5563</v>
      </c>
      <c r="AJ236" s="111">
        <v>70000</v>
      </c>
      <c r="AK236" s="97">
        <v>1</v>
      </c>
      <c r="AL236" s="20">
        <f t="shared" si="74"/>
        <v>230</v>
      </c>
      <c r="AM236" s="115">
        <f t="shared" si="75"/>
        <v>16100000</v>
      </c>
      <c r="AN236" s="20"/>
      <c r="AR236" t="s">
        <v>25</v>
      </c>
    </row>
    <row r="237" spans="4:45">
      <c r="G237" s="207" t="s">
        <v>5718</v>
      </c>
      <c r="H237" s="111">
        <v>6610318.1610199995</v>
      </c>
      <c r="Q237" s="187" t="s">
        <v>5876</v>
      </c>
      <c r="R237" s="187" t="s">
        <v>5871</v>
      </c>
      <c r="S237" s="186">
        <v>21634932</v>
      </c>
      <c r="T237" s="207" t="s">
        <v>4786</v>
      </c>
      <c r="U237" s="207">
        <v>68796</v>
      </c>
      <c r="V237" s="111">
        <v>293.53250000000003</v>
      </c>
      <c r="W237" s="111">
        <f t="shared" si="67"/>
        <v>20193861.870000001</v>
      </c>
      <c r="X237" s="97" t="s">
        <v>744</v>
      </c>
      <c r="AH237" s="97">
        <v>217</v>
      </c>
      <c r="AI237" s="111" t="s">
        <v>5552</v>
      </c>
      <c r="AJ237" s="111">
        <v>150000</v>
      </c>
      <c r="AK237" s="97">
        <v>0</v>
      </c>
      <c r="AL237" s="20">
        <f t="shared" si="74"/>
        <v>229</v>
      </c>
      <c r="AM237" s="115">
        <f t="shared" si="75"/>
        <v>34350000</v>
      </c>
      <c r="AN237" s="20"/>
      <c r="AQ237" t="s">
        <v>25</v>
      </c>
      <c r="AS237" t="s">
        <v>25</v>
      </c>
    </row>
    <row r="238" spans="4:45">
      <c r="G238" s="207" t="s">
        <v>5719</v>
      </c>
      <c r="H238" s="111">
        <v>710713.17725199996</v>
      </c>
      <c r="Q238" s="187" t="s">
        <v>4737</v>
      </c>
      <c r="R238" s="187" t="s">
        <v>5871</v>
      </c>
      <c r="S238" s="186">
        <v>-22520813.151772</v>
      </c>
      <c r="T238" s="207" t="s">
        <v>4786</v>
      </c>
      <c r="U238" s="207">
        <v>154791</v>
      </c>
      <c r="V238" s="111">
        <v>293.53250000000003</v>
      </c>
      <c r="W238" s="111">
        <f t="shared" si="67"/>
        <v>45436189.207500003</v>
      </c>
      <c r="X238" s="97" t="s">
        <v>452</v>
      </c>
      <c r="AH238" s="97">
        <v>218</v>
      </c>
      <c r="AI238" s="111" t="s">
        <v>5552</v>
      </c>
      <c r="AJ238" s="111">
        <v>-95599450</v>
      </c>
      <c r="AK238" s="97">
        <v>7</v>
      </c>
      <c r="AL238" s="20">
        <f t="shared" si="74"/>
        <v>229</v>
      </c>
      <c r="AM238" s="115">
        <f t="shared" si="75"/>
        <v>-21892274050</v>
      </c>
      <c r="AN238" s="20" t="s">
        <v>5566</v>
      </c>
      <c r="AR238" t="s">
        <v>25</v>
      </c>
    </row>
    <row r="239" spans="4:45">
      <c r="G239" s="207" t="s">
        <v>5721</v>
      </c>
      <c r="H239" s="111">
        <v>81025</v>
      </c>
      <c r="P239" t="s">
        <v>25</v>
      </c>
      <c r="Q239" s="19" t="s">
        <v>6473</v>
      </c>
      <c r="R239" s="19" t="s">
        <v>6470</v>
      </c>
      <c r="S239" s="115">
        <v>-6000000</v>
      </c>
      <c r="T239" s="207" t="s">
        <v>4786</v>
      </c>
      <c r="U239" s="207">
        <v>-11923</v>
      </c>
      <c r="V239" s="111">
        <v>293.53250000000003</v>
      </c>
      <c r="W239" s="111">
        <f t="shared" si="67"/>
        <v>-3499787.9975000005</v>
      </c>
      <c r="X239" s="97" t="s">
        <v>452</v>
      </c>
      <c r="AH239" s="97">
        <v>219</v>
      </c>
      <c r="AI239" s="111" t="s">
        <v>5574</v>
      </c>
      <c r="AJ239" s="111">
        <v>200000</v>
      </c>
      <c r="AK239" s="97">
        <v>7</v>
      </c>
      <c r="AL239" s="20">
        <f t="shared" si="74"/>
        <v>222</v>
      </c>
      <c r="AM239" s="115">
        <f t="shared" si="75"/>
        <v>44400000</v>
      </c>
      <c r="AN239" s="20"/>
      <c r="AR239" t="s">
        <v>25</v>
      </c>
    </row>
    <row r="240" spans="4:45">
      <c r="G240" s="207" t="s">
        <v>5724</v>
      </c>
      <c r="H240" s="111">
        <v>219696.613128</v>
      </c>
      <c r="Q240" s="19"/>
      <c r="R240" s="19"/>
      <c r="S240" s="115"/>
      <c r="T240" s="207" t="s">
        <v>4798</v>
      </c>
      <c r="U240" s="207">
        <v>8424</v>
      </c>
      <c r="V240" s="111">
        <v>299.15170000000001</v>
      </c>
      <c r="W240" s="111">
        <f t="shared" si="67"/>
        <v>2520053.9208</v>
      </c>
      <c r="X240" s="97" t="s">
        <v>452</v>
      </c>
      <c r="AH240" s="97">
        <v>220</v>
      </c>
      <c r="AI240" s="111" t="s">
        <v>5579</v>
      </c>
      <c r="AJ240" s="111">
        <v>150000</v>
      </c>
      <c r="AK240" s="97">
        <v>5</v>
      </c>
      <c r="AL240" s="20">
        <f t="shared" si="74"/>
        <v>215</v>
      </c>
      <c r="AM240" s="115">
        <f t="shared" si="75"/>
        <v>32250000</v>
      </c>
      <c r="AN240" s="20"/>
    </row>
    <row r="241" spans="7:46">
      <c r="G241" s="207" t="s">
        <v>5725</v>
      </c>
      <c r="H241" s="111">
        <v>6035472.4070199998</v>
      </c>
      <c r="Q241" s="207" t="s">
        <v>25</v>
      </c>
      <c r="R241" s="207"/>
      <c r="S241" s="111"/>
      <c r="T241" s="207" t="s">
        <v>4833</v>
      </c>
      <c r="U241" s="207">
        <v>15943</v>
      </c>
      <c r="V241" s="111">
        <v>307.34415000000001</v>
      </c>
      <c r="W241" s="111">
        <f t="shared" si="67"/>
        <v>4899987.78345</v>
      </c>
      <c r="X241" s="97" t="s">
        <v>452</v>
      </c>
      <c r="AH241" s="97">
        <v>221</v>
      </c>
      <c r="AI241" s="111" t="s">
        <v>5583</v>
      </c>
      <c r="AJ241" s="111">
        <v>310000</v>
      </c>
      <c r="AK241" s="97">
        <v>31</v>
      </c>
      <c r="AL241" s="20">
        <f t="shared" si="74"/>
        <v>210</v>
      </c>
      <c r="AM241" s="115">
        <f t="shared" si="75"/>
        <v>65100000</v>
      </c>
      <c r="AN241" s="20"/>
      <c r="AR241" t="s">
        <v>25</v>
      </c>
    </row>
    <row r="242" spans="7:46">
      <c r="G242" s="207" t="s">
        <v>5727</v>
      </c>
      <c r="H242" s="111">
        <v>984486.34963200008</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5619</v>
      </c>
      <c r="AJ242" s="111">
        <v>4200000</v>
      </c>
      <c r="AK242" s="97">
        <v>53</v>
      </c>
      <c r="AL242" s="20">
        <f t="shared" si="74"/>
        <v>179</v>
      </c>
      <c r="AM242" s="115">
        <f t="shared" si="75"/>
        <v>751800000</v>
      </c>
      <c r="AN242" s="20"/>
      <c r="AT242" s="94" t="s">
        <v>25</v>
      </c>
    </row>
    <row r="243" spans="7:46">
      <c r="G243" s="207" t="s">
        <v>5729</v>
      </c>
      <c r="H243" s="111">
        <v>2143469.938015</v>
      </c>
      <c r="Q243" s="41"/>
      <c r="R243" s="207"/>
      <c r="S243" s="207" t="s">
        <v>6</v>
      </c>
      <c r="T243" s="207" t="s">
        <v>4856</v>
      </c>
      <c r="U243" s="207">
        <v>-6207</v>
      </c>
      <c r="V243" s="111">
        <v>322.214</v>
      </c>
      <c r="W243" s="111">
        <f t="shared" si="67"/>
        <v>-1999982.298</v>
      </c>
      <c r="X243" s="97" t="s">
        <v>744</v>
      </c>
      <c r="AH243" s="97">
        <v>223</v>
      </c>
      <c r="AI243" s="111" t="s">
        <v>5690</v>
      </c>
      <c r="AJ243" s="111">
        <v>260000000</v>
      </c>
      <c r="AK243" s="97">
        <v>22</v>
      </c>
      <c r="AL243" s="20">
        <f t="shared" si="74"/>
        <v>126</v>
      </c>
      <c r="AM243" s="115">
        <f t="shared" si="75"/>
        <v>32760000000</v>
      </c>
      <c r="AN243" s="20" t="s">
        <v>5692</v>
      </c>
    </row>
    <row r="244" spans="7:46">
      <c r="G244" s="207" t="s">
        <v>5741</v>
      </c>
      <c r="H244" s="111">
        <v>3085460.5177150001</v>
      </c>
      <c r="Q244" s="94"/>
      <c r="T244" s="207" t="s">
        <v>4856</v>
      </c>
      <c r="U244" s="207">
        <v>6207</v>
      </c>
      <c r="V244" s="111">
        <v>322.214</v>
      </c>
      <c r="W244" s="111">
        <f t="shared" si="67"/>
        <v>1999982.298</v>
      </c>
      <c r="X244" s="97" t="s">
        <v>4409</v>
      </c>
      <c r="AH244" s="97">
        <v>224</v>
      </c>
      <c r="AI244" s="111" t="s">
        <v>5719</v>
      </c>
      <c r="AJ244" s="111">
        <v>20000</v>
      </c>
      <c r="AK244" s="97">
        <v>7</v>
      </c>
      <c r="AL244" s="20">
        <f t="shared" si="74"/>
        <v>104</v>
      </c>
      <c r="AM244" s="115">
        <f t="shared" si="75"/>
        <v>2080000</v>
      </c>
      <c r="AN244" s="20"/>
      <c r="AP244" t="s">
        <v>25</v>
      </c>
    </row>
    <row r="245" spans="7:46">
      <c r="G245" s="207" t="s">
        <v>5743</v>
      </c>
      <c r="H245" s="111">
        <v>8261456.790906</v>
      </c>
      <c r="P245" t="s">
        <v>25</v>
      </c>
      <c r="Q245" s="94" t="s">
        <v>25</v>
      </c>
      <c r="R245" s="94" t="s">
        <v>25</v>
      </c>
      <c r="T245" s="207" t="s">
        <v>4805</v>
      </c>
      <c r="U245" s="207">
        <v>776</v>
      </c>
      <c r="V245" s="111">
        <v>322.214</v>
      </c>
      <c r="W245" s="111">
        <f t="shared" si="67"/>
        <v>250038.06400000001</v>
      </c>
      <c r="X245" s="97" t="s">
        <v>452</v>
      </c>
      <c r="AH245" s="97">
        <v>225</v>
      </c>
      <c r="AI245" s="111" t="s">
        <v>5729</v>
      </c>
      <c r="AJ245" s="111">
        <v>70000</v>
      </c>
      <c r="AK245" s="97">
        <v>1</v>
      </c>
      <c r="AL245" s="20">
        <f t="shared" si="74"/>
        <v>97</v>
      </c>
      <c r="AM245" s="115">
        <f t="shared" si="75"/>
        <v>6790000</v>
      </c>
      <c r="AN245" s="20"/>
    </row>
    <row r="246" spans="7:46">
      <c r="G246" s="207" t="s">
        <v>5745</v>
      </c>
      <c r="H246" s="111">
        <v>6572373.7593120001</v>
      </c>
      <c r="K246" t="s">
        <v>25</v>
      </c>
      <c r="Q246" s="94" t="s">
        <v>25</v>
      </c>
      <c r="R246" s="94" t="s">
        <v>25</v>
      </c>
      <c r="S246" t="s">
        <v>25</v>
      </c>
      <c r="T246" s="207" t="s">
        <v>4878</v>
      </c>
      <c r="U246" s="207">
        <v>1524</v>
      </c>
      <c r="V246" s="111">
        <v>314.95999999999998</v>
      </c>
      <c r="W246" s="111">
        <f t="shared" si="67"/>
        <v>479999.04</v>
      </c>
      <c r="X246" s="97" t="s">
        <v>1071</v>
      </c>
      <c r="AH246" s="97">
        <v>226</v>
      </c>
      <c r="AI246" s="111" t="s">
        <v>5736</v>
      </c>
      <c r="AJ246" s="111">
        <v>330000</v>
      </c>
      <c r="AK246" s="97">
        <v>1</v>
      </c>
      <c r="AL246" s="20">
        <f t="shared" si="74"/>
        <v>96</v>
      </c>
      <c r="AM246" s="115">
        <f t="shared" si="75"/>
        <v>31680000</v>
      </c>
      <c r="AN246" s="20"/>
    </row>
    <row r="247" spans="7:46">
      <c r="G247" s="207" t="s">
        <v>5750</v>
      </c>
      <c r="H247" s="111">
        <v>2893243.5730909999</v>
      </c>
      <c r="S247" t="s">
        <v>25</v>
      </c>
      <c r="T247" s="207" t="s">
        <v>4885</v>
      </c>
      <c r="U247" s="207">
        <v>4435</v>
      </c>
      <c r="V247" s="111">
        <v>316.4375</v>
      </c>
      <c r="W247" s="111">
        <f t="shared" si="67"/>
        <v>1403400.3125</v>
      </c>
      <c r="X247" s="97" t="s">
        <v>452</v>
      </c>
      <c r="AH247" s="97">
        <v>227</v>
      </c>
      <c r="AI247" s="111" t="s">
        <v>5840</v>
      </c>
      <c r="AJ247" s="111">
        <v>33833075</v>
      </c>
      <c r="AK247" s="97">
        <v>18</v>
      </c>
      <c r="AL247" s="20">
        <f t="shared" si="74"/>
        <v>95</v>
      </c>
      <c r="AM247" s="115">
        <f t="shared" si="75"/>
        <v>3214142125</v>
      </c>
      <c r="AN247" s="20" t="s">
        <v>5844</v>
      </c>
    </row>
    <row r="248" spans="7:46">
      <c r="G248" s="207" t="s">
        <v>5752</v>
      </c>
      <c r="H248" s="111">
        <v>94992058.939007998</v>
      </c>
      <c r="J248" t="s">
        <v>25</v>
      </c>
      <c r="O248" t="s">
        <v>25</v>
      </c>
      <c r="Q248" s="97" t="s">
        <v>744</v>
      </c>
      <c r="R248" s="97"/>
      <c r="S248" t="s">
        <v>25</v>
      </c>
      <c r="T248" s="207" t="s">
        <v>4888</v>
      </c>
      <c r="U248" s="207">
        <v>624</v>
      </c>
      <c r="V248" s="111">
        <v>320.5</v>
      </c>
      <c r="W248" s="111">
        <f t="shared" si="67"/>
        <v>199992</v>
      </c>
      <c r="X248" s="97" t="s">
        <v>452</v>
      </c>
      <c r="AH248" s="97">
        <v>228</v>
      </c>
      <c r="AI248" s="111" t="s">
        <v>5857</v>
      </c>
      <c r="AJ248" s="111">
        <v>150000</v>
      </c>
      <c r="AK248" s="97">
        <v>10</v>
      </c>
      <c r="AL248" s="20">
        <f t="shared" si="74"/>
        <v>77</v>
      </c>
      <c r="AM248" s="115"/>
      <c r="AN248" s="20"/>
    </row>
    <row r="249" spans="7:46">
      <c r="G249" s="207" t="s">
        <v>5758</v>
      </c>
      <c r="H249" s="111">
        <v>275021.925965</v>
      </c>
      <c r="K249" t="s">
        <v>25</v>
      </c>
      <c r="Q249" s="97" t="s">
        <v>4402</v>
      </c>
      <c r="R249" s="93">
        <v>172908000</v>
      </c>
      <c r="T249" s="207" t="s">
        <v>4893</v>
      </c>
      <c r="U249" s="207">
        <v>1086</v>
      </c>
      <c r="V249" s="111">
        <v>317.55</v>
      </c>
      <c r="W249" s="111">
        <f t="shared" si="67"/>
        <v>344859.3</v>
      </c>
      <c r="X249" s="97" t="s">
        <v>452</v>
      </c>
      <c r="AH249" s="97">
        <v>229</v>
      </c>
      <c r="AI249" s="111" t="s">
        <v>5871</v>
      </c>
      <c r="AJ249" s="111">
        <v>-341847876.93843603</v>
      </c>
      <c r="AK249" s="97">
        <v>1</v>
      </c>
      <c r="AL249" s="20">
        <f t="shared" si="74"/>
        <v>67</v>
      </c>
      <c r="AM249" s="115"/>
      <c r="AN249" s="20" t="s">
        <v>4737</v>
      </c>
      <c r="AP249" t="s">
        <v>25</v>
      </c>
    </row>
    <row r="250" spans="7:46" ht="20.25" customHeight="1">
      <c r="G250" s="207" t="s">
        <v>5765</v>
      </c>
      <c r="H250" s="111">
        <v>327451.9203</v>
      </c>
      <c r="Q250" s="97" t="s">
        <v>4435</v>
      </c>
      <c r="R250" s="93">
        <v>1400000</v>
      </c>
      <c r="T250" s="207" t="s">
        <v>4898</v>
      </c>
      <c r="U250" s="207">
        <v>2820</v>
      </c>
      <c r="V250" s="111">
        <v>319.1096</v>
      </c>
      <c r="W250" s="111">
        <f t="shared" si="67"/>
        <v>899889.07200000004</v>
      </c>
      <c r="X250" s="97" t="s">
        <v>452</v>
      </c>
      <c r="AH250" s="97">
        <v>230</v>
      </c>
      <c r="AI250" s="111" t="s">
        <v>5884</v>
      </c>
      <c r="AJ250" s="111">
        <v>100000000</v>
      </c>
      <c r="AK250" s="97">
        <v>0</v>
      </c>
      <c r="AL250" s="20">
        <f t="shared" si="74"/>
        <v>66</v>
      </c>
      <c r="AM250" s="115"/>
      <c r="AN250" s="20" t="s">
        <v>5885</v>
      </c>
    </row>
    <row r="251" spans="7:46" ht="30">
      <c r="G251" s="207" t="s">
        <v>5777</v>
      </c>
      <c r="H251" s="111">
        <v>260081.94096800001</v>
      </c>
      <c r="O251" t="s">
        <v>25</v>
      </c>
      <c r="Q251" s="97" t="s">
        <v>4208</v>
      </c>
      <c r="R251" s="93">
        <v>247393</v>
      </c>
      <c r="S251" t="s">
        <v>25</v>
      </c>
      <c r="T251" s="207" t="s">
        <v>4901</v>
      </c>
      <c r="U251" s="207">
        <v>1145</v>
      </c>
      <c r="V251" s="111">
        <v>325.44</v>
      </c>
      <c r="W251" s="111">
        <f t="shared" si="67"/>
        <v>372628.8</v>
      </c>
      <c r="X251" s="97" t="s">
        <v>452</v>
      </c>
      <c r="Y251" t="s">
        <v>25</v>
      </c>
      <c r="AH251" s="97">
        <v>231</v>
      </c>
      <c r="AI251" s="111" t="s">
        <v>5884</v>
      </c>
      <c r="AJ251" s="111">
        <v>-100000000</v>
      </c>
      <c r="AK251" s="97">
        <v>1</v>
      </c>
      <c r="AL251" s="20">
        <f t="shared" si="74"/>
        <v>66</v>
      </c>
      <c r="AM251" s="115"/>
      <c r="AN251" s="263" t="s">
        <v>5886</v>
      </c>
    </row>
    <row r="252" spans="7:46">
      <c r="G252" s="207" t="s">
        <v>5787</v>
      </c>
      <c r="H252" s="111">
        <v>2909284.5308940001</v>
      </c>
      <c r="P252" t="s">
        <v>25</v>
      </c>
      <c r="Q252" s="97" t="s">
        <v>4207</v>
      </c>
      <c r="R252" s="93">
        <v>6780000</v>
      </c>
      <c r="T252" s="207" t="s">
        <v>4909</v>
      </c>
      <c r="U252" s="207">
        <v>20153</v>
      </c>
      <c r="V252" s="111">
        <v>322</v>
      </c>
      <c r="W252" s="111">
        <f t="shared" si="67"/>
        <v>6489266</v>
      </c>
      <c r="X252" s="97" t="s">
        <v>452</v>
      </c>
      <c r="AH252" s="97">
        <v>232</v>
      </c>
      <c r="AI252" s="111" t="s">
        <v>5887</v>
      </c>
      <c r="AJ252" s="111">
        <v>90000000</v>
      </c>
      <c r="AK252" s="97">
        <v>0</v>
      </c>
      <c r="AL252" s="20">
        <f t="shared" si="74"/>
        <v>65</v>
      </c>
      <c r="AM252" s="115"/>
      <c r="AN252" s="20"/>
    </row>
    <row r="253" spans="7:46" ht="30">
      <c r="G253" s="207" t="s">
        <v>5788</v>
      </c>
      <c r="H253" s="111">
        <v>37723205.094084002</v>
      </c>
      <c r="Q253" s="97" t="s">
        <v>4533</v>
      </c>
      <c r="R253" s="93">
        <v>-4000000</v>
      </c>
      <c r="T253" s="207" t="s">
        <v>4919</v>
      </c>
      <c r="U253" s="207">
        <v>93720</v>
      </c>
      <c r="V253" s="111">
        <v>325.435</v>
      </c>
      <c r="W253" s="111">
        <f t="shared" si="67"/>
        <v>30499768.199999999</v>
      </c>
      <c r="X253" s="97" t="s">
        <v>1071</v>
      </c>
      <c r="AH253" s="97">
        <v>233</v>
      </c>
      <c r="AI253" s="111" t="s">
        <v>5887</v>
      </c>
      <c r="AJ253" s="111">
        <v>-90000000</v>
      </c>
      <c r="AK253" s="97">
        <v>1</v>
      </c>
      <c r="AL253" s="20">
        <f t="shared" si="74"/>
        <v>65</v>
      </c>
      <c r="AM253" s="115"/>
      <c r="AN253" s="263" t="s">
        <v>5888</v>
      </c>
      <c r="AQ253" t="s">
        <v>25</v>
      </c>
      <c r="AS253" t="s">
        <v>25</v>
      </c>
    </row>
    <row r="254" spans="7:46">
      <c r="G254" s="207" t="s">
        <v>5789</v>
      </c>
      <c r="H254" s="111">
        <v>1500094.75168</v>
      </c>
      <c r="Q254" s="97" t="s">
        <v>4558</v>
      </c>
      <c r="R254" s="93">
        <v>16727037</v>
      </c>
      <c r="T254" s="207" t="s">
        <v>4919</v>
      </c>
      <c r="U254" s="207">
        <v>20895</v>
      </c>
      <c r="V254" s="111">
        <v>325.435</v>
      </c>
      <c r="W254" s="111">
        <f t="shared" si="67"/>
        <v>6799964.3250000002</v>
      </c>
      <c r="X254" s="97" t="s">
        <v>744</v>
      </c>
      <c r="AH254" s="97">
        <v>234</v>
      </c>
      <c r="AI254" s="111" t="s">
        <v>5889</v>
      </c>
      <c r="AJ254" s="111">
        <v>30000000</v>
      </c>
      <c r="AK254" s="97">
        <v>0</v>
      </c>
      <c r="AL254" s="20">
        <f t="shared" si="74"/>
        <v>64</v>
      </c>
      <c r="AM254" s="115"/>
      <c r="AN254" s="263"/>
    </row>
    <row r="255" spans="7:46" ht="30">
      <c r="G255" s="207" t="s">
        <v>5790</v>
      </c>
      <c r="H255" s="111">
        <v>7230628.4378079996</v>
      </c>
      <c r="J255" t="s">
        <v>25</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5889</v>
      </c>
      <c r="AJ255" s="111">
        <v>-30000000</v>
      </c>
      <c r="AK255" s="97">
        <v>3</v>
      </c>
      <c r="AL255" s="20">
        <f t="shared" si="74"/>
        <v>64</v>
      </c>
      <c r="AM255" s="115"/>
      <c r="AN255" s="263" t="s">
        <v>5890</v>
      </c>
    </row>
    <row r="256" spans="7:46">
      <c r="G256" s="207" t="s">
        <v>5792</v>
      </c>
      <c r="H256" s="111">
        <v>29767389.390390001</v>
      </c>
      <c r="Q256" s="97" t="s">
        <v>4564</v>
      </c>
      <c r="R256" s="93">
        <v>19663646</v>
      </c>
      <c r="T256" s="207" t="s">
        <v>4934</v>
      </c>
      <c r="U256" s="207">
        <v>6750</v>
      </c>
      <c r="V256" s="111">
        <v>339.3</v>
      </c>
      <c r="W256" s="111">
        <f t="shared" si="67"/>
        <v>2290275</v>
      </c>
      <c r="X256" s="97" t="s">
        <v>744</v>
      </c>
      <c r="AH256" s="97">
        <v>236</v>
      </c>
      <c r="AI256" s="111" t="s">
        <v>5906</v>
      </c>
      <c r="AJ256" s="111">
        <v>50000000</v>
      </c>
      <c r="AK256" s="97">
        <v>1</v>
      </c>
      <c r="AL256" s="20">
        <f t="shared" si="74"/>
        <v>61</v>
      </c>
      <c r="AM256" s="115"/>
      <c r="AN256" s="263"/>
    </row>
    <row r="257" spans="7:45" ht="30">
      <c r="G257" s="207" t="s">
        <v>5794</v>
      </c>
      <c r="H257" s="111">
        <v>151560.25597</v>
      </c>
      <c r="Q257" s="97" t="s">
        <v>4585</v>
      </c>
      <c r="R257" s="93">
        <v>4374525</v>
      </c>
      <c r="T257" s="207" t="s">
        <v>4942</v>
      </c>
      <c r="U257" s="207">
        <v>1850</v>
      </c>
      <c r="V257" s="111">
        <v>334.10050000000001</v>
      </c>
      <c r="W257" s="111">
        <f t="shared" si="67"/>
        <v>618085.92500000005</v>
      </c>
      <c r="X257" s="97" t="s">
        <v>452</v>
      </c>
      <c r="Y257" t="s">
        <v>25</v>
      </c>
      <c r="AH257" s="97">
        <v>237</v>
      </c>
      <c r="AI257" s="111" t="s">
        <v>5910</v>
      </c>
      <c r="AJ257" s="111">
        <v>-50000000</v>
      </c>
      <c r="AK257" s="97">
        <v>5</v>
      </c>
      <c r="AL257" s="20">
        <f t="shared" si="74"/>
        <v>60</v>
      </c>
      <c r="AM257" s="115"/>
      <c r="AN257" s="263" t="s">
        <v>5911</v>
      </c>
      <c r="AP257" t="s">
        <v>25</v>
      </c>
    </row>
    <row r="258" spans="7:45">
      <c r="G258" s="207" t="s">
        <v>5795</v>
      </c>
      <c r="H258" s="111">
        <v>481318.88078800001</v>
      </c>
      <c r="J258" t="s">
        <v>25</v>
      </c>
      <c r="Q258" s="97" t="s">
        <v>4596</v>
      </c>
      <c r="R258" s="93">
        <v>6550580</v>
      </c>
      <c r="T258" s="207" t="s">
        <v>4942</v>
      </c>
      <c r="U258" s="207">
        <v>-1194</v>
      </c>
      <c r="V258" s="111">
        <v>335</v>
      </c>
      <c r="W258" s="111">
        <f t="shared" si="67"/>
        <v>-399990</v>
      </c>
      <c r="X258" s="97" t="s">
        <v>4409</v>
      </c>
      <c r="Y258" t="s">
        <v>25</v>
      </c>
      <c r="AH258" s="97">
        <v>238</v>
      </c>
      <c r="AI258" s="111" t="s">
        <v>6444</v>
      </c>
      <c r="AJ258" s="111">
        <v>10000</v>
      </c>
      <c r="AK258" s="97">
        <v>1</v>
      </c>
      <c r="AL258" s="20">
        <f t="shared" si="74"/>
        <v>55</v>
      </c>
      <c r="AM258" s="115"/>
      <c r="AN258" s="263"/>
    </row>
    <row r="259" spans="7:45" ht="15" customHeight="1">
      <c r="G259" s="207" t="s">
        <v>5798</v>
      </c>
      <c r="H259" s="111">
        <v>146277.56820000001</v>
      </c>
      <c r="P259" t="s">
        <v>25</v>
      </c>
      <c r="Q259" s="97" t="s">
        <v>4598</v>
      </c>
      <c r="R259" s="93">
        <v>6650895</v>
      </c>
      <c r="T259" s="207" t="s">
        <v>4942</v>
      </c>
      <c r="U259" s="207">
        <v>1194</v>
      </c>
      <c r="V259" s="111">
        <v>335</v>
      </c>
      <c r="W259" s="111">
        <f t="shared" si="67"/>
        <v>399990</v>
      </c>
      <c r="X259" s="97" t="s">
        <v>744</v>
      </c>
      <c r="AH259" s="97">
        <v>239</v>
      </c>
      <c r="AI259" s="111" t="s">
        <v>6449</v>
      </c>
      <c r="AJ259" s="111">
        <v>50000000</v>
      </c>
      <c r="AK259" s="97">
        <v>43</v>
      </c>
      <c r="AL259" s="20">
        <f t="shared" si="74"/>
        <v>54</v>
      </c>
      <c r="AM259" s="115"/>
      <c r="AN259" s="263" t="s">
        <v>5354</v>
      </c>
    </row>
    <row r="260" spans="7:45">
      <c r="G260" s="207" t="s">
        <v>5811</v>
      </c>
      <c r="H260" s="111">
        <v>424693.40162399999</v>
      </c>
      <c r="J260" t="s">
        <v>25</v>
      </c>
      <c r="Q260" s="97" t="s">
        <v>4614</v>
      </c>
      <c r="R260" s="93">
        <v>2145814</v>
      </c>
      <c r="T260" s="207" t="s">
        <v>4949</v>
      </c>
      <c r="U260" s="207">
        <v>433</v>
      </c>
      <c r="V260" s="111">
        <v>345.68</v>
      </c>
      <c r="W260" s="111">
        <f t="shared" si="67"/>
        <v>149679.44</v>
      </c>
      <c r="X260" s="97" t="s">
        <v>744</v>
      </c>
      <c r="AH260" s="97">
        <v>240</v>
      </c>
      <c r="AI260" s="111" t="s">
        <v>6537</v>
      </c>
      <c r="AJ260" s="111">
        <v>50000000</v>
      </c>
      <c r="AK260" s="97">
        <v>10</v>
      </c>
      <c r="AL260" s="20">
        <f t="shared" si="74"/>
        <v>11</v>
      </c>
      <c r="AM260" s="115"/>
      <c r="AN260" s="263" t="s">
        <v>6538</v>
      </c>
    </row>
    <row r="261" spans="7:45">
      <c r="G261" s="207" t="s">
        <v>5814</v>
      </c>
      <c r="H261" s="111">
        <v>558320.40202399995</v>
      </c>
      <c r="J261" t="s">
        <v>25</v>
      </c>
      <c r="Q261" s="97" t="s">
        <v>4625</v>
      </c>
      <c r="R261" s="93">
        <v>4369730</v>
      </c>
      <c r="T261" s="207" t="s">
        <v>4953</v>
      </c>
      <c r="U261" s="207">
        <v>55459</v>
      </c>
      <c r="V261" s="111">
        <v>362.51978000000003</v>
      </c>
      <c r="W261" s="111">
        <f t="shared" si="67"/>
        <v>20104984.479020003</v>
      </c>
      <c r="X261" s="97" t="s">
        <v>452</v>
      </c>
      <c r="AH261" s="97">
        <v>241</v>
      </c>
      <c r="AI261" s="111" t="s">
        <v>6550</v>
      </c>
      <c r="AJ261" s="111">
        <v>8200000</v>
      </c>
      <c r="AK261" s="97">
        <v>1</v>
      </c>
      <c r="AL261" s="20">
        <f t="shared" si="74"/>
        <v>1</v>
      </c>
      <c r="AM261" s="115"/>
      <c r="AN261" s="263" t="s">
        <v>6538</v>
      </c>
      <c r="AR261" t="s">
        <v>25</v>
      </c>
      <c r="AS261" t="s">
        <v>25</v>
      </c>
    </row>
    <row r="262" spans="7:45">
      <c r="G262" s="207" t="s">
        <v>5816</v>
      </c>
      <c r="H262" s="111">
        <v>207642.22201140001</v>
      </c>
      <c r="J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3"/>
    </row>
    <row r="263" spans="7:45" ht="17.25" customHeight="1">
      <c r="G263" s="284" t="s">
        <v>5855</v>
      </c>
      <c r="H263" s="88">
        <v>637977.33504399995</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3"/>
      <c r="AS263" t="s">
        <v>25</v>
      </c>
    </row>
    <row r="264" spans="7:45">
      <c r="G264" s="207" t="s">
        <v>5856</v>
      </c>
      <c r="H264" s="111">
        <v>466552.25632400002</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3"/>
    </row>
    <row r="265" spans="7:45">
      <c r="G265" s="207" t="s">
        <v>5857</v>
      </c>
      <c r="H265" s="111">
        <v>189134.85153000001</v>
      </c>
      <c r="J265" t="s">
        <v>25</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5862</v>
      </c>
      <c r="H266" s="111">
        <v>564888.82799599995</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5906</v>
      </c>
      <c r="H267" s="111">
        <v>259993.58394100002</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5910</v>
      </c>
      <c r="H268" s="111">
        <v>269955.31205999997</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6458</v>
      </c>
      <c r="H269" s="111">
        <v>560534.38387200003</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6467</v>
      </c>
      <c r="H270" s="111">
        <v>581484.96802499995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6474</v>
      </c>
      <c r="H272" s="111">
        <v>593783.22629999998</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6478</v>
      </c>
      <c r="H273" s="111">
        <v>469469.96222000004</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6554</v>
      </c>
      <c r="H274" s="111">
        <v>15777944</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c r="H275" s="111"/>
      <c r="J275" t="s">
        <v>25</v>
      </c>
      <c r="K275" t="s">
        <v>25</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c r="H276" s="111"/>
      <c r="J276" t="s">
        <v>25</v>
      </c>
      <c r="Q276" s="97" t="s">
        <v>4949</v>
      </c>
      <c r="R276" s="93">
        <v>150000</v>
      </c>
      <c r="T276" s="207" t="s">
        <v>4999</v>
      </c>
      <c r="U276" s="207">
        <v>1924</v>
      </c>
      <c r="V276" s="111">
        <v>386.69600000000003</v>
      </c>
      <c r="W276" s="111">
        <f t="shared" si="67"/>
        <v>744003.10400000005</v>
      </c>
      <c r="X276" s="36" t="s">
        <v>452</v>
      </c>
      <c r="AI276" t="s">
        <v>4048</v>
      </c>
      <c r="AJ276" s="112">
        <f>SUM(N42:N51)</f>
        <v>5477351710</v>
      </c>
      <c r="AM276" t="s">
        <v>25</v>
      </c>
    </row>
    <row r="277" spans="7:40">
      <c r="G277" s="207"/>
      <c r="H277" s="111"/>
      <c r="J277" t="s">
        <v>25</v>
      </c>
      <c r="Q277" s="97" t="s">
        <v>4977</v>
      </c>
      <c r="R277" s="93">
        <v>-144950</v>
      </c>
      <c r="T277" s="207" t="s">
        <v>5024</v>
      </c>
      <c r="U277" s="207">
        <v>165</v>
      </c>
      <c r="V277" s="111">
        <v>393.5</v>
      </c>
      <c r="W277" s="111">
        <f t="shared" si="67"/>
        <v>64927.5</v>
      </c>
      <c r="X277" s="36" t="s">
        <v>452</v>
      </c>
      <c r="AI277" t="s">
        <v>4118</v>
      </c>
      <c r="AJ277" s="112">
        <f>AJ276-AJ270</f>
        <v>4930670760.9384365</v>
      </c>
      <c r="AM277" t="s">
        <v>25</v>
      </c>
    </row>
    <row r="278" spans="7:40" ht="30">
      <c r="G278" s="207"/>
      <c r="H278" s="111"/>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c r="H279" s="111"/>
      <c r="J279" t="s">
        <v>25</v>
      </c>
      <c r="Q279" s="97" t="s">
        <v>5006</v>
      </c>
      <c r="R279" s="93">
        <v>500000</v>
      </c>
      <c r="S279" t="s">
        <v>25</v>
      </c>
      <c r="T279" s="207" t="s">
        <v>5000</v>
      </c>
      <c r="U279" s="207">
        <v>8476</v>
      </c>
      <c r="V279" s="111">
        <v>419.49900000000002</v>
      </c>
      <c r="W279" s="111">
        <f t="shared" si="67"/>
        <v>3555673.5240000002</v>
      </c>
      <c r="X279" s="36" t="s">
        <v>5038</v>
      </c>
      <c r="AI279" t="s">
        <v>4049</v>
      </c>
      <c r="AJ279" s="112">
        <f>AJ276-AJ275</f>
        <v>4673993414.9963369</v>
      </c>
      <c r="AN279" t="s">
        <v>25</v>
      </c>
    </row>
    <row r="280" spans="7:40">
      <c r="G280" s="207" t="s">
        <v>5491</v>
      </c>
      <c r="H280" s="111">
        <v>-87000000</v>
      </c>
      <c r="O280" t="s">
        <v>25</v>
      </c>
      <c r="Q280" s="97" t="s">
        <v>5050</v>
      </c>
      <c r="R280" s="93">
        <v>400000</v>
      </c>
      <c r="S280" t="s">
        <v>25</v>
      </c>
      <c r="T280" s="207" t="s">
        <v>5050</v>
      </c>
      <c r="U280" s="207">
        <v>903</v>
      </c>
      <c r="V280" s="111">
        <v>442.77379999999999</v>
      </c>
      <c r="W280" s="111">
        <f t="shared" si="67"/>
        <v>399824.7414</v>
      </c>
      <c r="X280" s="36" t="s">
        <v>744</v>
      </c>
      <c r="AM280" t="s">
        <v>25</v>
      </c>
    </row>
    <row r="281" spans="7:40">
      <c r="G281" s="207"/>
      <c r="H281" s="111"/>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c r="H282" s="1"/>
      <c r="Q282" s="97" t="s">
        <v>5063</v>
      </c>
      <c r="R282" s="93">
        <v>300000</v>
      </c>
      <c r="T282" s="207" t="s">
        <v>5063</v>
      </c>
      <c r="U282" s="207">
        <v>671</v>
      </c>
      <c r="V282" s="111">
        <v>447</v>
      </c>
      <c r="W282" s="111">
        <f t="shared" si="76"/>
        <v>299937</v>
      </c>
      <c r="X282" s="36" t="s">
        <v>744</v>
      </c>
    </row>
    <row r="283" spans="7:40">
      <c r="G283" s="207"/>
      <c r="H283" s="1"/>
      <c r="Q283" s="97" t="s">
        <v>5084</v>
      </c>
      <c r="R283" s="93">
        <v>250000</v>
      </c>
      <c r="T283" s="207" t="s">
        <v>5065</v>
      </c>
      <c r="U283" s="207">
        <v>7</v>
      </c>
      <c r="V283" s="111">
        <v>465.31200000000001</v>
      </c>
      <c r="W283" s="111">
        <f t="shared" si="76"/>
        <v>3257.1840000000002</v>
      </c>
      <c r="X283" s="36" t="s">
        <v>452</v>
      </c>
    </row>
    <row r="284" spans="7:40">
      <c r="G284" s="207"/>
      <c r="H284" s="1"/>
      <c r="Q284" s="97" t="s">
        <v>5117</v>
      </c>
      <c r="R284" s="93">
        <v>200000</v>
      </c>
      <c r="T284" s="207" t="s">
        <v>5069</v>
      </c>
      <c r="U284" s="207">
        <v>12950</v>
      </c>
      <c r="V284" s="111">
        <v>463.31599999999997</v>
      </c>
      <c r="W284" s="111">
        <f t="shared" si="76"/>
        <v>5999942.1999999993</v>
      </c>
      <c r="X284" s="36" t="s">
        <v>452</v>
      </c>
    </row>
    <row r="285" spans="7:40">
      <c r="G285" s="207" t="s">
        <v>6</v>
      </c>
      <c r="H285" s="1">
        <f>SUM(H161:H284)</f>
        <v>1467373281.2390366</v>
      </c>
      <c r="J285" t="s">
        <v>25</v>
      </c>
      <c r="Q285" s="97" t="s">
        <v>5149</v>
      </c>
      <c r="R285" s="93">
        <v>122000</v>
      </c>
      <c r="T285" s="207" t="s">
        <v>5071</v>
      </c>
      <c r="U285" s="207">
        <v>37</v>
      </c>
      <c r="V285" s="111">
        <v>463.315</v>
      </c>
      <c r="W285" s="111">
        <f t="shared" si="76"/>
        <v>17142.654999999999</v>
      </c>
      <c r="X285" s="36" t="s">
        <v>452</v>
      </c>
    </row>
    <row r="286" spans="7:40">
      <c r="G286" s="285"/>
      <c r="H286" s="1"/>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J288" t="s">
        <v>25</v>
      </c>
      <c r="O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94"/>
      <c r="H289" s="9" t="s">
        <v>452</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94"/>
      <c r="H290" s="9" t="s">
        <v>744</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94"/>
      <c r="H291" s="9" t="s">
        <v>5425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94"/>
      <c r="H292" s="9" t="s">
        <v>1071</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H293" s="9" t="s">
        <v>5362</v>
      </c>
      <c r="Q293" s="97" t="s">
        <v>5495</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H294" s="9" t="s">
        <v>5525</v>
      </c>
      <c r="Q294" s="97" t="s">
        <v>5504</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H295" s="286" t="s">
        <v>5526</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H296" s="286" t="s">
        <v>744</v>
      </c>
      <c r="O296" t="s">
        <v>25</v>
      </c>
      <c r="Q296" s="97" t="s">
        <v>5595</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H297" s="9" t="s">
        <v>5527</v>
      </c>
      <c r="Q297" s="97" t="s">
        <v>5595</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H298" s="9" t="s">
        <v>5528</v>
      </c>
      <c r="P298" t="s">
        <v>25</v>
      </c>
      <c r="Q298" s="97" t="s">
        <v>5619</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H299" s="9" t="s">
        <v>5556</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H300" s="286"/>
      <c r="Q300" s="97" t="s">
        <v>5845</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Q301" s="97" t="s">
        <v>5871</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Q302" s="97" t="s">
        <v>5893</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O303" t="s">
        <v>25</v>
      </c>
      <c r="Q303" s="97" t="s">
        <v>5894</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Q304" s="97" t="s">
        <v>6444</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16:40">
      <c r="Q305" s="97" t="s">
        <v>6470</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16:40">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16:40">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16:40">
      <c r="P308" t="s">
        <v>25</v>
      </c>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16:40">
      <c r="P309" t="s">
        <v>25</v>
      </c>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16:40">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16:40">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16:40">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16:40">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16:40">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16:40">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16:40">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16:40">
      <c r="Q317" s="97" t="s">
        <v>4554</v>
      </c>
      <c r="R317" s="93">
        <v>2269000</v>
      </c>
      <c r="T317" s="187" t="s">
        <v>5245</v>
      </c>
      <c r="U317" s="187">
        <v>63259</v>
      </c>
      <c r="V317" s="186">
        <v>632.31960000000004</v>
      </c>
      <c r="W317" s="186">
        <f t="shared" si="76"/>
        <v>39999905.576400004</v>
      </c>
      <c r="X317" s="262" t="s">
        <v>1071</v>
      </c>
      <c r="AH317" s="147">
        <v>31</v>
      </c>
      <c r="AI317" s="147" t="s">
        <v>4627</v>
      </c>
      <c r="AJ317" s="186">
        <v>300000</v>
      </c>
      <c r="AK317" s="147">
        <v>0</v>
      </c>
      <c r="AL317" s="147">
        <f t="shared" ref="AL317:AL332" si="80">AK317+AL318</f>
        <v>783</v>
      </c>
      <c r="AM317" s="147">
        <f t="shared" ref="AM317:AM326" si="81">AJ317*AL317</f>
        <v>234900000</v>
      </c>
      <c r="AN317" s="147"/>
    </row>
    <row r="318" spans="16:40" ht="30">
      <c r="Q318" s="97" t="s">
        <v>4563</v>
      </c>
      <c r="R318" s="93">
        <v>25071612</v>
      </c>
      <c r="T318" s="19" t="s">
        <v>5249</v>
      </c>
      <c r="U318" s="19">
        <v>-1278</v>
      </c>
      <c r="V318" s="115">
        <v>625.98</v>
      </c>
      <c r="W318" s="115">
        <f t="shared" si="76"/>
        <v>-800002.44000000006</v>
      </c>
      <c r="X318" s="263" t="s">
        <v>5250</v>
      </c>
      <c r="AH318" s="119">
        <v>32</v>
      </c>
      <c r="AI318" s="119" t="s">
        <v>4627</v>
      </c>
      <c r="AJ318" s="77">
        <v>288936</v>
      </c>
      <c r="AK318" s="119">
        <v>3</v>
      </c>
      <c r="AL318" s="119">
        <f t="shared" si="80"/>
        <v>783</v>
      </c>
      <c r="AM318" s="119">
        <f t="shared" si="81"/>
        <v>226236888</v>
      </c>
      <c r="AN318" s="201" t="s">
        <v>4638</v>
      </c>
    </row>
    <row r="319" spans="16:40">
      <c r="Q319" s="97" t="s">
        <v>4564</v>
      </c>
      <c r="R319" s="93">
        <v>42236984</v>
      </c>
      <c r="T319" s="19" t="s">
        <v>5254</v>
      </c>
      <c r="U319" s="19">
        <v>32049</v>
      </c>
      <c r="V319" s="115">
        <v>624.04600000000005</v>
      </c>
      <c r="W319" s="115">
        <f t="shared" si="76"/>
        <v>20000050.254000001</v>
      </c>
      <c r="X319" s="263" t="s">
        <v>5119</v>
      </c>
      <c r="Z319" t="s">
        <v>25</v>
      </c>
      <c r="AH319" s="119">
        <v>33</v>
      </c>
      <c r="AI319" s="119" t="s">
        <v>4636</v>
      </c>
      <c r="AJ319" s="77">
        <v>17962491</v>
      </c>
      <c r="AK319" s="119">
        <v>1</v>
      </c>
      <c r="AL319" s="119">
        <f t="shared" si="80"/>
        <v>780</v>
      </c>
      <c r="AM319" s="119">
        <f t="shared" si="81"/>
        <v>14010742980</v>
      </c>
      <c r="AN319" s="119" t="s">
        <v>4643</v>
      </c>
    </row>
    <row r="320" spans="16:40" ht="30">
      <c r="Q320" s="97" t="s">
        <v>4585</v>
      </c>
      <c r="R320" s="93">
        <v>19663646</v>
      </c>
      <c r="T320" s="19" t="s">
        <v>5261</v>
      </c>
      <c r="U320" s="19">
        <v>45094</v>
      </c>
      <c r="V320" s="115">
        <v>614.13559759999998</v>
      </c>
      <c r="W320" s="115">
        <f t="shared" si="76"/>
        <v>27693830.6381744</v>
      </c>
      <c r="X320" s="263" t="s">
        <v>5263</v>
      </c>
      <c r="Y320" t="s">
        <v>25</v>
      </c>
      <c r="AH320" s="119">
        <v>34</v>
      </c>
      <c r="AI320" s="119" t="s">
        <v>3668</v>
      </c>
      <c r="AJ320" s="77">
        <v>18363511</v>
      </c>
      <c r="AK320" s="119">
        <v>1</v>
      </c>
      <c r="AL320" s="119">
        <f t="shared" si="80"/>
        <v>779</v>
      </c>
      <c r="AM320" s="119">
        <f t="shared" si="81"/>
        <v>14305175069</v>
      </c>
      <c r="AN320" s="119" t="s">
        <v>4643</v>
      </c>
    </row>
    <row r="321" spans="17:44" ht="30">
      <c r="Q321" s="97" t="s">
        <v>4596</v>
      </c>
      <c r="R321" s="93">
        <v>4374525</v>
      </c>
      <c r="T321" s="19" t="s">
        <v>5288</v>
      </c>
      <c r="U321" s="19">
        <v>-11804</v>
      </c>
      <c r="V321" s="115">
        <v>762.46640000000002</v>
      </c>
      <c r="W321" s="115">
        <f t="shared" si="76"/>
        <v>-9000153.3856000006</v>
      </c>
      <c r="X321" s="263" t="s">
        <v>5290</v>
      </c>
      <c r="AH321" s="119">
        <v>35</v>
      </c>
      <c r="AI321" s="119" t="s">
        <v>4648</v>
      </c>
      <c r="AJ321" s="77">
        <v>23622417</v>
      </c>
      <c r="AK321" s="119">
        <v>5</v>
      </c>
      <c r="AL321" s="119">
        <f t="shared" si="80"/>
        <v>778</v>
      </c>
      <c r="AM321" s="119">
        <f t="shared" si="81"/>
        <v>18378240426</v>
      </c>
      <c r="AN321" s="119" t="s">
        <v>4650</v>
      </c>
    </row>
    <row r="322" spans="17:44">
      <c r="Q322" s="97" t="s">
        <v>4598</v>
      </c>
      <c r="R322" s="93">
        <v>6550580</v>
      </c>
      <c r="T322" s="19" t="s">
        <v>5332</v>
      </c>
      <c r="U322" s="19">
        <v>844</v>
      </c>
      <c r="V322" s="115">
        <v>830</v>
      </c>
      <c r="W322" s="115">
        <f t="shared" si="76"/>
        <v>700520</v>
      </c>
      <c r="X322" s="263" t="s">
        <v>4409</v>
      </c>
      <c r="Y322" t="s">
        <v>25</v>
      </c>
      <c r="AH322" s="119">
        <v>36</v>
      </c>
      <c r="AI322" s="119" t="s">
        <v>4662</v>
      </c>
      <c r="AJ322" s="77">
        <v>82496108</v>
      </c>
      <c r="AK322" s="119">
        <v>1</v>
      </c>
      <c r="AL322" s="119">
        <f t="shared" si="80"/>
        <v>773</v>
      </c>
      <c r="AM322" s="119">
        <f t="shared" si="81"/>
        <v>63769491484</v>
      </c>
      <c r="AN322" s="119" t="s">
        <v>4665</v>
      </c>
    </row>
    <row r="323" spans="17:44">
      <c r="Q323" s="97" t="s">
        <v>4614</v>
      </c>
      <c r="R323" s="93">
        <v>7054895</v>
      </c>
      <c r="T323" s="19" t="s">
        <v>5336</v>
      </c>
      <c r="U323" s="19">
        <v>8662</v>
      </c>
      <c r="V323" s="115">
        <v>832.57011999999997</v>
      </c>
      <c r="W323" s="115">
        <f t="shared" si="76"/>
        <v>7211722.3794399993</v>
      </c>
      <c r="X323" s="263" t="s">
        <v>5114</v>
      </c>
      <c r="Z323" t="s">
        <v>25</v>
      </c>
      <c r="AA323" t="s">
        <v>25</v>
      </c>
      <c r="AH323" s="119">
        <v>37</v>
      </c>
      <c r="AI323" s="119" t="s">
        <v>4664</v>
      </c>
      <c r="AJ323" s="77">
        <v>74657561</v>
      </c>
      <c r="AK323" s="119">
        <v>16</v>
      </c>
      <c r="AL323" s="119">
        <f t="shared" si="80"/>
        <v>772</v>
      </c>
      <c r="AM323" s="119">
        <f t="shared" si="81"/>
        <v>57635637092</v>
      </c>
      <c r="AN323" s="119" t="s">
        <v>4670</v>
      </c>
    </row>
    <row r="324" spans="17:44" ht="30">
      <c r="Q324" s="97" t="s">
        <v>4625</v>
      </c>
      <c r="R324" s="93">
        <v>2145814</v>
      </c>
      <c r="S324" s="112"/>
      <c r="T324" s="19" t="s">
        <v>5337</v>
      </c>
      <c r="U324" s="19">
        <v>10253</v>
      </c>
      <c r="V324" s="115">
        <v>827.2568</v>
      </c>
      <c r="W324" s="115">
        <f t="shared" si="76"/>
        <v>8481863.9704</v>
      </c>
      <c r="X324" s="263" t="s">
        <v>5340</v>
      </c>
      <c r="AH324" s="97">
        <v>38</v>
      </c>
      <c r="AI324" s="97" t="s">
        <v>4735</v>
      </c>
      <c r="AJ324" s="115">
        <v>665000</v>
      </c>
      <c r="AK324" s="97">
        <v>0</v>
      </c>
      <c r="AL324" s="97">
        <f t="shared" si="80"/>
        <v>756</v>
      </c>
      <c r="AM324" s="20">
        <f t="shared" si="81"/>
        <v>502740000</v>
      </c>
      <c r="AN324" s="97"/>
    </row>
    <row r="325" spans="17:44">
      <c r="Q325" s="97" t="s">
        <v>4627</v>
      </c>
      <c r="R325" s="93">
        <v>4369730</v>
      </c>
      <c r="T325" s="232" t="s">
        <v>5341</v>
      </c>
      <c r="U325" s="232">
        <v>-33077</v>
      </c>
      <c r="V325" s="233">
        <v>786.02973999999995</v>
      </c>
      <c r="W325" s="233">
        <f t="shared" si="76"/>
        <v>-25999505.70998</v>
      </c>
      <c r="X325" s="271" t="s">
        <v>5344</v>
      </c>
      <c r="AH325" s="147">
        <v>39</v>
      </c>
      <c r="AI325" s="147" t="s">
        <v>4735</v>
      </c>
      <c r="AJ325" s="186">
        <v>665000</v>
      </c>
      <c r="AK325" s="147">
        <v>4</v>
      </c>
      <c r="AL325" s="192">
        <f t="shared" si="80"/>
        <v>756</v>
      </c>
      <c r="AM325" s="192">
        <f t="shared" si="81"/>
        <v>502740000</v>
      </c>
      <c r="AN325" s="192"/>
    </row>
    <row r="326" spans="17:44">
      <c r="Q326" s="97" t="s">
        <v>4636</v>
      </c>
      <c r="R326" s="93">
        <v>8739459</v>
      </c>
      <c r="T326" s="19" t="s">
        <v>5341</v>
      </c>
      <c r="U326" s="19">
        <v>-33077</v>
      </c>
      <c r="V326" s="115">
        <v>786.02973999999995</v>
      </c>
      <c r="W326" s="115">
        <f t="shared" si="76"/>
        <v>-25999505.70998</v>
      </c>
      <c r="X326" s="263" t="s">
        <v>5345</v>
      </c>
      <c r="Y326" t="s">
        <v>25</v>
      </c>
      <c r="AH326" s="20">
        <v>40</v>
      </c>
      <c r="AI326" s="20" t="s">
        <v>4744</v>
      </c>
      <c r="AJ326" s="115">
        <v>2000000</v>
      </c>
      <c r="AK326" s="20">
        <v>1</v>
      </c>
      <c r="AL326" s="97">
        <f t="shared" si="80"/>
        <v>752</v>
      </c>
      <c r="AM326" s="20">
        <f t="shared" si="81"/>
        <v>1504000000</v>
      </c>
      <c r="AN326" s="97"/>
    </row>
    <row r="327" spans="17:44">
      <c r="Q327" s="97" t="s">
        <v>3668</v>
      </c>
      <c r="R327" s="93">
        <v>6667654</v>
      </c>
      <c r="T327" s="19" t="s">
        <v>5341</v>
      </c>
      <c r="U327" s="19">
        <v>1983</v>
      </c>
      <c r="V327" s="115">
        <v>786.02973999999995</v>
      </c>
      <c r="W327" s="115">
        <f t="shared" si="76"/>
        <v>1558696.9744199999</v>
      </c>
      <c r="X327" s="263" t="s">
        <v>5114</v>
      </c>
      <c r="AH327" s="20">
        <v>41</v>
      </c>
      <c r="AI327" s="20" t="s">
        <v>4749</v>
      </c>
      <c r="AJ327" s="115">
        <v>-2060725</v>
      </c>
      <c r="AK327" s="20">
        <v>0</v>
      </c>
      <c r="AL327" s="97">
        <f t="shared" si="80"/>
        <v>751</v>
      </c>
      <c r="AM327" s="20">
        <f t="shared" ref="AM327:AM332" si="82">AJ327*AL327</f>
        <v>-1547604475</v>
      </c>
      <c r="AN327" s="97" t="s">
        <v>4750</v>
      </c>
    </row>
    <row r="328" spans="17:44">
      <c r="Q328" s="97" t="s">
        <v>4648</v>
      </c>
      <c r="R328" s="93">
        <v>8981245</v>
      </c>
      <c r="T328" s="232" t="s">
        <v>5346</v>
      </c>
      <c r="U328" s="232">
        <v>-119753</v>
      </c>
      <c r="V328" s="233">
        <v>800.81560000000002</v>
      </c>
      <c r="W328" s="233">
        <f t="shared" si="76"/>
        <v>-95900070.546800002</v>
      </c>
      <c r="X328" s="271" t="s">
        <v>5344</v>
      </c>
      <c r="AH328" s="147">
        <v>42</v>
      </c>
      <c r="AI328" s="147" t="s">
        <v>4749</v>
      </c>
      <c r="AJ328" s="186">
        <v>-433375</v>
      </c>
      <c r="AK328" s="147">
        <v>0</v>
      </c>
      <c r="AL328" s="147">
        <f t="shared" si="80"/>
        <v>751</v>
      </c>
      <c r="AM328" s="147">
        <f t="shared" si="82"/>
        <v>-325464625</v>
      </c>
      <c r="AN328" s="147" t="s">
        <v>4751</v>
      </c>
    </row>
    <row r="329" spans="17:44">
      <c r="Q329" s="97" t="s">
        <v>4651</v>
      </c>
      <c r="R329" s="93">
        <v>9181756</v>
      </c>
      <c r="T329" s="19" t="s">
        <v>5346</v>
      </c>
      <c r="U329" s="19">
        <v>-119753</v>
      </c>
      <c r="V329" s="115">
        <v>800.81560000000002</v>
      </c>
      <c r="W329" s="115">
        <f t="shared" si="76"/>
        <v>-95900070.546800002</v>
      </c>
      <c r="X329" s="263" t="s">
        <v>5345</v>
      </c>
      <c r="AA329" t="s">
        <v>25</v>
      </c>
      <c r="AH329" s="20">
        <v>43</v>
      </c>
      <c r="AI329" s="20" t="s">
        <v>4749</v>
      </c>
      <c r="AJ329" s="115">
        <v>28000000</v>
      </c>
      <c r="AK329" s="20">
        <v>1</v>
      </c>
      <c r="AL329" s="97">
        <f t="shared" si="80"/>
        <v>751</v>
      </c>
      <c r="AM329" s="20">
        <f t="shared" si="82"/>
        <v>21028000000</v>
      </c>
      <c r="AN329" s="97" t="s">
        <v>3875</v>
      </c>
    </row>
    <row r="330" spans="17:44">
      <c r="Q330" s="97" t="s">
        <v>4664</v>
      </c>
      <c r="R330" s="93">
        <v>11811208</v>
      </c>
      <c r="T330" s="19" t="s">
        <v>5346</v>
      </c>
      <c r="U330" s="19">
        <v>11291</v>
      </c>
      <c r="V330" s="115">
        <v>800.81560000000002</v>
      </c>
      <c r="W330" s="115">
        <f t="shared" si="76"/>
        <v>9042008.9396000002</v>
      </c>
      <c r="X330" s="263" t="s">
        <v>452</v>
      </c>
      <c r="AH330" s="20">
        <v>44</v>
      </c>
      <c r="AI330" s="20" t="s">
        <v>4758</v>
      </c>
      <c r="AJ330" s="115">
        <v>160000</v>
      </c>
      <c r="AK330" s="20">
        <v>0</v>
      </c>
      <c r="AL330" s="97">
        <f t="shared" si="80"/>
        <v>750</v>
      </c>
      <c r="AM330" s="20">
        <f t="shared" si="82"/>
        <v>120000000</v>
      </c>
      <c r="AN330" s="97"/>
    </row>
    <row r="331" spans="17:44">
      <c r="Q331" s="97" t="s">
        <v>4671</v>
      </c>
      <c r="R331" s="93">
        <v>41248054</v>
      </c>
      <c r="T331" s="187" t="s">
        <v>5347</v>
      </c>
      <c r="U331" s="187">
        <v>-35361</v>
      </c>
      <c r="V331" s="186">
        <v>818.697</v>
      </c>
      <c r="W331" s="186">
        <f t="shared" si="76"/>
        <v>-28949944.616999999</v>
      </c>
      <c r="X331" s="262" t="s">
        <v>5344</v>
      </c>
      <c r="Y331" t="s">
        <v>25</v>
      </c>
      <c r="AH331" s="147">
        <v>45</v>
      </c>
      <c r="AI331" s="147" t="s">
        <v>4758</v>
      </c>
      <c r="AJ331" s="186">
        <v>70000</v>
      </c>
      <c r="AK331" s="147">
        <v>9</v>
      </c>
      <c r="AL331" s="147">
        <f t="shared" si="80"/>
        <v>750</v>
      </c>
      <c r="AM331" s="147">
        <f t="shared" si="82"/>
        <v>52500000</v>
      </c>
      <c r="AN331" s="147"/>
    </row>
    <row r="332" spans="17:44">
      <c r="Q332" s="97" t="s">
        <v>4677</v>
      </c>
      <c r="R332" s="93">
        <v>37328780</v>
      </c>
      <c r="T332" s="19" t="s">
        <v>5347</v>
      </c>
      <c r="U332" s="19">
        <v>-35361</v>
      </c>
      <c r="V332" s="115">
        <v>818.697</v>
      </c>
      <c r="W332" s="115">
        <f t="shared" si="76"/>
        <v>-28949944.616999999</v>
      </c>
      <c r="X332" s="263" t="s">
        <v>5345</v>
      </c>
      <c r="Y332" t="s">
        <v>25</v>
      </c>
      <c r="Z332" t="s">
        <v>25</v>
      </c>
      <c r="AH332" s="20">
        <v>46</v>
      </c>
      <c r="AI332" s="20" t="s">
        <v>4765</v>
      </c>
      <c r="AJ332" s="115">
        <v>850000</v>
      </c>
      <c r="AK332" s="20">
        <v>0</v>
      </c>
      <c r="AL332" s="97">
        <f t="shared" si="80"/>
        <v>741</v>
      </c>
      <c r="AM332" s="20">
        <f t="shared" si="82"/>
        <v>629850000</v>
      </c>
      <c r="AN332" s="97"/>
      <c r="AR332" t="s">
        <v>25</v>
      </c>
    </row>
    <row r="333" spans="17:44">
      <c r="Q333" s="97" t="s">
        <v>4735</v>
      </c>
      <c r="R333" s="93">
        <v>50000000</v>
      </c>
      <c r="T333" s="19" t="s">
        <v>5347</v>
      </c>
      <c r="U333" s="19">
        <v>116</v>
      </c>
      <c r="V333" s="115">
        <v>818.697</v>
      </c>
      <c r="W333" s="115">
        <f t="shared" si="76"/>
        <v>94968.851999999999</v>
      </c>
      <c r="X333" s="263"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17:44">
      <c r="Q334" s="97" t="s">
        <v>4744</v>
      </c>
      <c r="R334" s="93">
        <v>68656</v>
      </c>
      <c r="T334" s="19" t="s">
        <v>5351</v>
      </c>
      <c r="U334" s="19">
        <v>48633</v>
      </c>
      <c r="V334" s="115">
        <v>822.47199999999998</v>
      </c>
      <c r="W334" s="115">
        <f t="shared" si="76"/>
        <v>39999280.776000001</v>
      </c>
      <c r="X334" s="263" t="s">
        <v>5354</v>
      </c>
      <c r="AH334" s="192">
        <v>48</v>
      </c>
      <c r="AI334" s="192" t="s">
        <v>4778</v>
      </c>
      <c r="AJ334" s="193">
        <v>30000000</v>
      </c>
      <c r="AK334" s="192">
        <v>27</v>
      </c>
      <c r="AL334" s="192">
        <f t="shared" si="83"/>
        <v>737</v>
      </c>
      <c r="AM334" s="192">
        <f t="shared" si="84"/>
        <v>22110000000</v>
      </c>
      <c r="AN334" s="192" t="s">
        <v>4779</v>
      </c>
    </row>
    <row r="335" spans="17:44">
      <c r="Q335" s="97" t="s">
        <v>4744</v>
      </c>
      <c r="R335" s="93">
        <v>4000236</v>
      </c>
      <c r="T335" s="19" t="s">
        <v>5351</v>
      </c>
      <c r="U335" s="19">
        <v>3412</v>
      </c>
      <c r="V335" s="115">
        <v>822.47199999999998</v>
      </c>
      <c r="W335" s="115">
        <f t="shared" si="76"/>
        <v>2806274.4640000002</v>
      </c>
      <c r="X335" s="263" t="s">
        <v>5356</v>
      </c>
      <c r="AH335" s="20">
        <v>49</v>
      </c>
      <c r="AI335" s="20" t="s">
        <v>4851</v>
      </c>
      <c r="AJ335" s="115">
        <v>1100000</v>
      </c>
      <c r="AK335" s="20">
        <v>1</v>
      </c>
      <c r="AL335" s="20">
        <f t="shared" si="83"/>
        <v>710</v>
      </c>
      <c r="AM335" s="20">
        <f t="shared" si="84"/>
        <v>781000000</v>
      </c>
      <c r="AN335" s="20"/>
    </row>
    <row r="336" spans="17:44">
      <c r="Q336" s="97" t="s">
        <v>4749</v>
      </c>
      <c r="R336" s="93">
        <v>2250000</v>
      </c>
      <c r="T336" s="19" t="s">
        <v>5352</v>
      </c>
      <c r="U336" s="19">
        <v>1531</v>
      </c>
      <c r="V336" s="115">
        <v>869.82500000000005</v>
      </c>
      <c r="W336" s="115">
        <f t="shared" si="76"/>
        <v>1331702.075</v>
      </c>
      <c r="X336" s="263"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3"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2"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3"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3"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5438</v>
      </c>
      <c r="U341" s="19">
        <v>382</v>
      </c>
      <c r="V341" s="115">
        <v>1450.6065000000001</v>
      </c>
      <c r="W341" s="115">
        <f t="shared" si="76"/>
        <v>554131.68300000008</v>
      </c>
      <c r="X341" s="263"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5439</v>
      </c>
      <c r="U342" s="19">
        <v>50047</v>
      </c>
      <c r="V342" s="115">
        <v>1406.14</v>
      </c>
      <c r="W342" s="115">
        <f t="shared" si="76"/>
        <v>70373088.579999998</v>
      </c>
      <c r="X342" s="263"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5440</v>
      </c>
      <c r="U343" s="19">
        <v>846</v>
      </c>
      <c r="V343" s="115">
        <v>1441.6724569999999</v>
      </c>
      <c r="W343" s="115">
        <f t="shared" si="76"/>
        <v>1219654.8986219999</v>
      </c>
      <c r="X343" s="263"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5441</v>
      </c>
      <c r="U344" s="19">
        <v>10573</v>
      </c>
      <c r="V344" s="115">
        <v>1451.825</v>
      </c>
      <c r="W344" s="115">
        <f t="shared" si="76"/>
        <v>15350145.725</v>
      </c>
      <c r="X344" s="263"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5442</v>
      </c>
      <c r="U345" s="19">
        <v>85</v>
      </c>
      <c r="V345" s="115">
        <v>1423.74</v>
      </c>
      <c r="W345" s="115">
        <f t="shared" si="76"/>
        <v>121017.9</v>
      </c>
      <c r="X345" s="263" t="s">
        <v>5443</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5446</v>
      </c>
      <c r="U346" s="19">
        <v>738</v>
      </c>
      <c r="V346" s="115">
        <v>1388.87895</v>
      </c>
      <c r="W346" s="115">
        <f t="shared" si="76"/>
        <v>1024992.6651</v>
      </c>
      <c r="X346" s="263" t="s">
        <v>5450</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5458</v>
      </c>
      <c r="U347" s="19">
        <v>1442</v>
      </c>
      <c r="V347" s="115">
        <v>1350.9547279999999</v>
      </c>
      <c r="W347" s="115">
        <f t="shared" si="76"/>
        <v>1948076.7177759998</v>
      </c>
      <c r="X347" s="263"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5459</v>
      </c>
      <c r="U348" s="19">
        <v>36847</v>
      </c>
      <c r="V348" s="115">
        <v>1356.9658300000001</v>
      </c>
      <c r="W348" s="115">
        <f t="shared" si="76"/>
        <v>50000119.938010007</v>
      </c>
      <c r="X348" s="263"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5460</v>
      </c>
      <c r="U349" s="19">
        <v>13738</v>
      </c>
      <c r="V349" s="115">
        <v>1455.82</v>
      </c>
      <c r="W349" s="115">
        <f t="shared" si="76"/>
        <v>20000055.16</v>
      </c>
      <c r="X349" s="263" t="s">
        <v>5476</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5483</v>
      </c>
      <c r="U350" s="19">
        <v>3100</v>
      </c>
      <c r="V350" s="115">
        <v>1853.4507470000001</v>
      </c>
      <c r="W350" s="115">
        <f t="shared" si="76"/>
        <v>5745697.3157000002</v>
      </c>
      <c r="X350" s="263"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5484</v>
      </c>
      <c r="U351" s="19">
        <v>480</v>
      </c>
      <c r="V351" s="115">
        <v>1891.9962069999999</v>
      </c>
      <c r="W351" s="115">
        <f t="shared" si="76"/>
        <v>908158.17935999995</v>
      </c>
      <c r="X351" s="263"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5485</v>
      </c>
      <c r="U352" s="19">
        <v>6522</v>
      </c>
      <c r="V352" s="115">
        <v>1938.4694340000001</v>
      </c>
      <c r="W352" s="115">
        <f t="shared" si="76"/>
        <v>12642697.648548001</v>
      </c>
      <c r="X352" s="263"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5486</v>
      </c>
      <c r="U353" s="19">
        <v>6197</v>
      </c>
      <c r="V353" s="115">
        <v>1984.3985499999999</v>
      </c>
      <c r="W353" s="115">
        <f t="shared" si="76"/>
        <v>12297317.81435</v>
      </c>
      <c r="X353" s="263"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5487</v>
      </c>
      <c r="U354" s="19">
        <v>4646</v>
      </c>
      <c r="V354" s="115">
        <v>1928.464023</v>
      </c>
      <c r="W354" s="115">
        <f t="shared" si="76"/>
        <v>8959643.8508579992</v>
      </c>
      <c r="X354" s="263"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5488</v>
      </c>
      <c r="U355" s="19">
        <v>7668</v>
      </c>
      <c r="V355" s="115">
        <v>1976.2774959999999</v>
      </c>
      <c r="W355" s="115">
        <f t="shared" si="76"/>
        <v>15154095.839328</v>
      </c>
      <c r="X355" s="263"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5495</v>
      </c>
      <c r="U356" s="19">
        <v>-43325</v>
      </c>
      <c r="V356" s="115">
        <v>2146.5548840000001</v>
      </c>
      <c r="W356" s="115">
        <f t="shared" si="76"/>
        <v>-92999490.349300012</v>
      </c>
      <c r="X356" s="263" t="s">
        <v>5496</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5503</v>
      </c>
      <c r="U357" s="19">
        <v>20888</v>
      </c>
      <c r="V357" s="115">
        <v>2428.4521530000002</v>
      </c>
      <c r="W357" s="115">
        <f t="shared" si="76"/>
        <v>50725508.571864001</v>
      </c>
      <c r="X357" s="263"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5504</v>
      </c>
      <c r="U358" s="19">
        <v>21663</v>
      </c>
      <c r="V358" s="115">
        <v>2308.0067819999999</v>
      </c>
      <c r="W358" s="115">
        <f t="shared" si="76"/>
        <v>49998350.918466002</v>
      </c>
      <c r="X358" s="263" t="s">
        <v>5507</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5504</v>
      </c>
      <c r="U359" s="19">
        <v>977</v>
      </c>
      <c r="V359" s="115">
        <v>2335.6821479999999</v>
      </c>
      <c r="W359" s="115">
        <f t="shared" si="76"/>
        <v>2281961.458596</v>
      </c>
      <c r="X359" s="263"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5511</v>
      </c>
      <c r="U360" s="19">
        <v>4155</v>
      </c>
      <c r="V360" s="115">
        <v>2647</v>
      </c>
      <c r="W360" s="115">
        <f t="shared" si="76"/>
        <v>10998285</v>
      </c>
      <c r="X360" s="263"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5512</v>
      </c>
      <c r="U361" s="19">
        <v>351</v>
      </c>
      <c r="V361" s="115">
        <v>2800.6238229999999</v>
      </c>
      <c r="W361" s="115">
        <f t="shared" si="76"/>
        <v>983018.96187300002</v>
      </c>
      <c r="X361" s="263"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5514</v>
      </c>
      <c r="U362" s="19">
        <v>5877</v>
      </c>
      <c r="V362" s="115">
        <v>2901.0160000000001</v>
      </c>
      <c r="W362" s="115">
        <f t="shared" si="76"/>
        <v>17049271.032000002</v>
      </c>
      <c r="X362" s="263"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5517</v>
      </c>
      <c r="U363" s="19">
        <v>2374</v>
      </c>
      <c r="V363" s="115">
        <v>2877</v>
      </c>
      <c r="W363" s="115">
        <f t="shared" ref="W363:W400" si="89">U363*V363</f>
        <v>6829998</v>
      </c>
      <c r="X363" s="263"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3"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3" t="s">
        <v>5533</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3" t="s">
        <v>5534</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5538</v>
      </c>
      <c r="U367" s="19">
        <v>2874</v>
      </c>
      <c r="V367" s="115">
        <v>2613.1284000000001</v>
      </c>
      <c r="W367" s="115">
        <f t="shared" si="89"/>
        <v>7510131.0216000006</v>
      </c>
      <c r="X367" s="263"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5544</v>
      </c>
      <c r="U368" s="19">
        <v>2847</v>
      </c>
      <c r="V368" s="115">
        <v>2556.3841000000002</v>
      </c>
      <c r="W368" s="115">
        <f t="shared" si="89"/>
        <v>7278025.5327000003</v>
      </c>
      <c r="X368" s="263"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5544</v>
      </c>
      <c r="U369" s="19">
        <v>1222</v>
      </c>
      <c r="V369" s="115">
        <v>2556.3841000000002</v>
      </c>
      <c r="W369" s="115">
        <f t="shared" si="89"/>
        <v>3123901.3702000002</v>
      </c>
      <c r="X369" s="263" t="s">
        <v>5545</v>
      </c>
      <c r="AH369" s="147">
        <v>83</v>
      </c>
      <c r="AI369" s="147" t="s">
        <v>4994</v>
      </c>
      <c r="AJ369" s="186">
        <v>40000</v>
      </c>
      <c r="AK369" s="147">
        <v>0</v>
      </c>
      <c r="AL369" s="147">
        <f t="shared" si="87"/>
        <v>617</v>
      </c>
      <c r="AM369" s="147">
        <f t="shared" si="88"/>
        <v>24680000</v>
      </c>
      <c r="AN369" s="147"/>
    </row>
    <row r="370" spans="17:45">
      <c r="Q370" s="97" t="s">
        <v>5069</v>
      </c>
      <c r="R370" s="93">
        <v>3495</v>
      </c>
      <c r="T370" s="19" t="s">
        <v>5553</v>
      </c>
      <c r="U370" s="19">
        <v>73</v>
      </c>
      <c r="V370" s="115">
        <v>2672.0459999999998</v>
      </c>
      <c r="W370" s="115">
        <f t="shared" si="89"/>
        <v>195059.35799999998</v>
      </c>
      <c r="X370" s="263"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5558</v>
      </c>
      <c r="U371" s="19">
        <v>332</v>
      </c>
      <c r="V371" s="115">
        <v>2598.1260000000002</v>
      </c>
      <c r="W371" s="115">
        <f t="shared" si="89"/>
        <v>862577.83200000005</v>
      </c>
      <c r="X371" s="263" t="s">
        <v>5559</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5560</v>
      </c>
      <c r="U372" s="19">
        <v>346</v>
      </c>
      <c r="V372" s="115">
        <v>2659.8510000000001</v>
      </c>
      <c r="W372" s="115">
        <f t="shared" si="89"/>
        <v>920308.446</v>
      </c>
      <c r="X372" s="263"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5561</v>
      </c>
      <c r="U373" s="19">
        <v>1722</v>
      </c>
      <c r="V373" s="115">
        <v>2692.1079220000001</v>
      </c>
      <c r="W373" s="115">
        <f t="shared" si="89"/>
        <v>4635809.8416840006</v>
      </c>
      <c r="X373" s="263"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5563</v>
      </c>
      <c r="U374" s="19">
        <v>106</v>
      </c>
      <c r="V374" s="115">
        <v>2725.4</v>
      </c>
      <c r="W374" s="115">
        <f t="shared" si="89"/>
        <v>288892.40000000002</v>
      </c>
      <c r="X374" s="263"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5591</v>
      </c>
      <c r="U375" s="19">
        <v>25901</v>
      </c>
      <c r="V375" s="115">
        <v>2258.9090000000001</v>
      </c>
      <c r="W375" s="115">
        <f t="shared" si="89"/>
        <v>58508002.009000003</v>
      </c>
      <c r="X375" s="263"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5593</v>
      </c>
      <c r="U376" s="19">
        <v>951</v>
      </c>
      <c r="V376" s="115">
        <v>2361.2150799999999</v>
      </c>
      <c r="W376" s="115">
        <f t="shared" si="89"/>
        <v>2245515.5410799999</v>
      </c>
      <c r="X376" s="263" t="s">
        <v>5114</v>
      </c>
      <c r="AH376" s="20">
        <v>90</v>
      </c>
      <c r="AI376" s="20" t="s">
        <v>5033</v>
      </c>
      <c r="AJ376" s="115">
        <v>312598</v>
      </c>
      <c r="AK376" s="20">
        <v>0</v>
      </c>
      <c r="AL376" s="20">
        <f t="shared" si="90"/>
        <v>590</v>
      </c>
      <c r="AM376" s="20">
        <f t="shared" si="91"/>
        <v>184432820</v>
      </c>
      <c r="AN376" s="20"/>
    </row>
    <row r="377" spans="17:45">
      <c r="Q377" s="97" t="s">
        <v>5110</v>
      </c>
      <c r="R377" s="93">
        <v>6022</v>
      </c>
      <c r="T377" s="19" t="s">
        <v>5595</v>
      </c>
      <c r="U377" s="19">
        <v>7622</v>
      </c>
      <c r="V377" s="115">
        <v>2414.6810999999998</v>
      </c>
      <c r="W377" s="115">
        <f t="shared" si="89"/>
        <v>18404699.3442</v>
      </c>
      <c r="X377" s="263"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5595</v>
      </c>
      <c r="U378" s="19">
        <v>-282</v>
      </c>
      <c r="V378" s="115">
        <v>2414.6810999999998</v>
      </c>
      <c r="W378" s="115">
        <f t="shared" si="89"/>
        <v>-680940.07019999996</v>
      </c>
      <c r="X378" s="263" t="s">
        <v>5596</v>
      </c>
      <c r="AH378" s="192">
        <v>92</v>
      </c>
      <c r="AI378" s="192" t="s">
        <v>5033</v>
      </c>
      <c r="AJ378" s="193">
        <v>-300000</v>
      </c>
      <c r="AK378" s="192">
        <v>1</v>
      </c>
      <c r="AL378" s="192">
        <f t="shared" si="90"/>
        <v>590</v>
      </c>
      <c r="AM378" s="192">
        <f t="shared" si="91"/>
        <v>-177000000</v>
      </c>
      <c r="AN378" s="192"/>
    </row>
    <row r="379" spans="17:45">
      <c r="Q379" s="97" t="s">
        <v>5113</v>
      </c>
      <c r="R379" s="93">
        <v>92847</v>
      </c>
      <c r="T379" s="19" t="s">
        <v>5595</v>
      </c>
      <c r="U379" s="19">
        <v>20162</v>
      </c>
      <c r="V379" s="115">
        <v>2414.6810999999998</v>
      </c>
      <c r="W379" s="115">
        <f t="shared" si="89"/>
        <v>48684800.338199995</v>
      </c>
      <c r="X379" s="263" t="s">
        <v>5597</v>
      </c>
      <c r="AH379" s="20">
        <v>93</v>
      </c>
      <c r="AI379" s="20" t="s">
        <v>5000</v>
      </c>
      <c r="AJ379" s="115">
        <v>300000</v>
      </c>
      <c r="AK379" s="20">
        <v>0</v>
      </c>
      <c r="AL379" s="20">
        <f t="shared" si="90"/>
        <v>589</v>
      </c>
      <c r="AM379" s="20">
        <f t="shared" si="91"/>
        <v>176700000</v>
      </c>
      <c r="AN379" s="20"/>
    </row>
    <row r="380" spans="17:45">
      <c r="Q380" s="97" t="s">
        <v>5117</v>
      </c>
      <c r="R380" s="93">
        <v>-100000</v>
      </c>
      <c r="T380" s="19" t="s">
        <v>5595</v>
      </c>
      <c r="U380" s="19">
        <v>-20162</v>
      </c>
      <c r="V380" s="115">
        <v>2414.6810999999998</v>
      </c>
      <c r="W380" s="115">
        <f t="shared" si="89"/>
        <v>-48684800.338199995</v>
      </c>
      <c r="X380" s="263"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5598</v>
      </c>
      <c r="U381" s="19">
        <v>977</v>
      </c>
      <c r="V381" s="115">
        <v>2317.971947</v>
      </c>
      <c r="W381" s="115">
        <f t="shared" si="89"/>
        <v>2264658.5922190002</v>
      </c>
      <c r="X381" s="263"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5600</v>
      </c>
      <c r="U382" s="19">
        <v>10280</v>
      </c>
      <c r="V382" s="115">
        <v>2225.429357</v>
      </c>
      <c r="W382" s="115">
        <f t="shared" si="89"/>
        <v>22877413.789960001</v>
      </c>
      <c r="X382" s="263"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5603</v>
      </c>
      <c r="U383" s="19">
        <v>1022</v>
      </c>
      <c r="V383" s="115">
        <v>2311.6824240000001</v>
      </c>
      <c r="W383" s="115">
        <f t="shared" si="89"/>
        <v>2362539.4373280001</v>
      </c>
      <c r="X383" s="263"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5604</v>
      </c>
      <c r="U384" s="19">
        <v>6818</v>
      </c>
      <c r="V384" s="115">
        <v>2352.988656</v>
      </c>
      <c r="W384" s="115">
        <f t="shared" si="89"/>
        <v>16042676.656608</v>
      </c>
      <c r="X384" s="263"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5605</v>
      </c>
      <c r="U385" s="19">
        <v>8023</v>
      </c>
      <c r="V385" s="115">
        <v>2293.8167079999998</v>
      </c>
      <c r="W385" s="115">
        <f t="shared" si="89"/>
        <v>18403291.448284</v>
      </c>
      <c r="X385" s="263"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5608</v>
      </c>
      <c r="U386" s="19">
        <v>4666</v>
      </c>
      <c r="V386" s="115">
        <v>2263.4906230000001</v>
      </c>
      <c r="W386" s="115">
        <f t="shared" si="89"/>
        <v>10561447.246918</v>
      </c>
      <c r="X386" s="263"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5609</v>
      </c>
      <c r="U387" s="19">
        <v>542</v>
      </c>
      <c r="V387" s="115">
        <v>2263.4906230000001</v>
      </c>
      <c r="W387" s="115">
        <f t="shared" si="89"/>
        <v>1226811.9176660001</v>
      </c>
      <c r="X387" s="263" t="s">
        <v>5114</v>
      </c>
      <c r="AF387" s="94" t="s">
        <v>25</v>
      </c>
      <c r="AH387" s="147">
        <v>101</v>
      </c>
      <c r="AI387" s="147" t="s">
        <v>5084</v>
      </c>
      <c r="AJ387" s="186">
        <v>250000</v>
      </c>
      <c r="AK387" s="147">
        <v>3</v>
      </c>
      <c r="AL387" s="147">
        <f t="shared" si="90"/>
        <v>560</v>
      </c>
      <c r="AM387" s="147">
        <f t="shared" si="91"/>
        <v>140000000</v>
      </c>
      <c r="AN387" s="147"/>
    </row>
    <row r="388" spans="16:45">
      <c r="P388" t="s">
        <v>25</v>
      </c>
      <c r="Q388" s="97" t="s">
        <v>5127</v>
      </c>
      <c r="R388" s="93">
        <v>34550</v>
      </c>
      <c r="T388" s="19" t="s">
        <v>5610</v>
      </c>
      <c r="U388" s="19">
        <v>16629</v>
      </c>
      <c r="V388" s="115">
        <v>2367.7887540000002</v>
      </c>
      <c r="W388" s="115">
        <f t="shared" si="89"/>
        <v>39373959.190266006</v>
      </c>
      <c r="X388" s="263"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5615</v>
      </c>
      <c r="U389" s="19">
        <v>11765</v>
      </c>
      <c r="V389" s="115">
        <v>2354.7375320000001</v>
      </c>
      <c r="W389" s="115">
        <f t="shared" si="89"/>
        <v>27703487.063980002</v>
      </c>
      <c r="X389" s="263"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5616</v>
      </c>
      <c r="U390" s="19">
        <v>3672</v>
      </c>
      <c r="V390" s="115">
        <v>2379.873826</v>
      </c>
      <c r="W390" s="115">
        <f t="shared" si="89"/>
        <v>8738896.6890719999</v>
      </c>
      <c r="X390" s="263" t="s">
        <v>5114</v>
      </c>
      <c r="Z390" t="s">
        <v>25</v>
      </c>
      <c r="AH390" s="20">
        <v>104</v>
      </c>
      <c r="AI390" s="20" t="s">
        <v>960</v>
      </c>
      <c r="AJ390" s="115">
        <v>-3960043</v>
      </c>
      <c r="AK390" s="20">
        <v>2</v>
      </c>
      <c r="AL390" s="20">
        <f t="shared" si="90"/>
        <v>550</v>
      </c>
      <c r="AM390" s="20">
        <f t="shared" si="91"/>
        <v>-2178023650</v>
      </c>
      <c r="AN390" s="20"/>
    </row>
    <row r="391" spans="16:45">
      <c r="Q391" s="97" t="s">
        <v>5209</v>
      </c>
      <c r="R391" s="93">
        <v>-54615</v>
      </c>
      <c r="T391" s="19" t="s">
        <v>4185</v>
      </c>
      <c r="U391" s="19">
        <v>140</v>
      </c>
      <c r="V391" s="115">
        <v>2487.154767</v>
      </c>
      <c r="W391" s="115">
        <f t="shared" si="89"/>
        <v>348201.66738</v>
      </c>
      <c r="X391" s="263"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5618</v>
      </c>
      <c r="U392" s="19">
        <v>1616</v>
      </c>
      <c r="V392" s="115">
        <v>2573.0760479999999</v>
      </c>
      <c r="W392" s="115">
        <f t="shared" si="89"/>
        <v>4158090.8935679998</v>
      </c>
      <c r="X392" s="263"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5619</v>
      </c>
      <c r="U393" s="187">
        <v>5682</v>
      </c>
      <c r="V393" s="186">
        <v>2639.970566</v>
      </c>
      <c r="W393" s="186">
        <f t="shared" si="89"/>
        <v>15000312.756012</v>
      </c>
      <c r="X393" s="262" t="s">
        <v>5875</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5619</v>
      </c>
      <c r="U394" s="187">
        <v>-122</v>
      </c>
      <c r="V394" s="186">
        <v>2639.970566</v>
      </c>
      <c r="W394" s="186">
        <f t="shared" si="89"/>
        <v>-322076.40905199997</v>
      </c>
      <c r="X394" s="262" t="s">
        <v>5915</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5619</v>
      </c>
      <c r="U395" s="19">
        <v>2272</v>
      </c>
      <c r="V395" s="115">
        <v>2639.970566</v>
      </c>
      <c r="W395" s="115">
        <f t="shared" si="89"/>
        <v>5998013.1259519998</v>
      </c>
      <c r="X395" s="263" t="s">
        <v>5628</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5619</v>
      </c>
      <c r="U396" s="19">
        <v>4434</v>
      </c>
      <c r="V396" s="115">
        <v>2639.970566</v>
      </c>
      <c r="W396" s="115">
        <f t="shared" si="89"/>
        <v>11705629.489644</v>
      </c>
      <c r="X396" s="263" t="s">
        <v>5629</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5619</v>
      </c>
      <c r="U397" s="19">
        <v>2349</v>
      </c>
      <c r="V397" s="115">
        <v>2639.970566</v>
      </c>
      <c r="W397" s="115">
        <f t="shared" si="89"/>
        <v>6201290.859534</v>
      </c>
      <c r="X397" s="263" t="s">
        <v>5630</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5619</v>
      </c>
      <c r="U398" s="19">
        <v>-568</v>
      </c>
      <c r="V398" s="115">
        <v>2639.970566</v>
      </c>
      <c r="W398" s="115">
        <f t="shared" si="89"/>
        <v>-1499503.2814879999</v>
      </c>
      <c r="X398" s="263" t="s">
        <v>5631</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5619</v>
      </c>
      <c r="U399" s="19">
        <v>568</v>
      </c>
      <c r="V399" s="115">
        <v>2639.970566</v>
      </c>
      <c r="W399" s="115">
        <f t="shared" si="89"/>
        <v>1499503.2814879999</v>
      </c>
      <c r="X399" s="263" t="s">
        <v>5631</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5622</v>
      </c>
      <c r="U400" s="19">
        <v>4589</v>
      </c>
      <c r="V400" s="115">
        <v>2639.970566</v>
      </c>
      <c r="W400" s="115">
        <f t="shared" si="89"/>
        <v>12114824.927374</v>
      </c>
      <c r="X400" s="263" t="s">
        <v>5632</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5622</v>
      </c>
      <c r="U401" s="19">
        <v>41959</v>
      </c>
      <c r="V401" s="115">
        <v>2639.970566</v>
      </c>
      <c r="W401" s="115">
        <f t="shared" ref="W401:W500" si="92">U401*V401</f>
        <v>110770524.97879399</v>
      </c>
      <c r="X401" s="263"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5634</v>
      </c>
      <c r="U402" s="19">
        <v>2486</v>
      </c>
      <c r="V402" s="115">
        <v>2688.7156100000002</v>
      </c>
      <c r="W402" s="115">
        <f t="shared" si="92"/>
        <v>6684147.0064600008</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5637</v>
      </c>
      <c r="U403" s="19">
        <v>652</v>
      </c>
      <c r="V403" s="115">
        <v>2801.4344030000002</v>
      </c>
      <c r="W403" s="115">
        <f t="shared" si="92"/>
        <v>1826535.2307560001</v>
      </c>
      <c r="X403" s="263" t="s">
        <v>5114</v>
      </c>
      <c r="AH403" s="147">
        <v>117</v>
      </c>
      <c r="AI403" s="147" t="s">
        <v>5149</v>
      </c>
      <c r="AJ403" s="186">
        <v>50000</v>
      </c>
      <c r="AK403" s="147">
        <v>7</v>
      </c>
      <c r="AL403" s="147">
        <f t="shared" si="93"/>
        <v>532</v>
      </c>
      <c r="AM403" s="147">
        <f t="shared" si="94"/>
        <v>26600000</v>
      </c>
      <c r="AN403" s="147"/>
    </row>
    <row r="404" spans="17:45">
      <c r="Q404" s="97" t="s">
        <v>5438</v>
      </c>
      <c r="R404" s="93">
        <v>652592</v>
      </c>
      <c r="T404" s="187" t="s">
        <v>5637</v>
      </c>
      <c r="U404" s="187">
        <v>-536</v>
      </c>
      <c r="V404" s="186">
        <v>2801.4344030000002</v>
      </c>
      <c r="W404" s="186">
        <f t="shared" si="92"/>
        <v>-1501568.8400080001</v>
      </c>
      <c r="X404" s="262" t="s">
        <v>5650</v>
      </c>
      <c r="AH404" s="20">
        <v>118</v>
      </c>
      <c r="AI404" s="20" t="s">
        <v>5157</v>
      </c>
      <c r="AJ404" s="115">
        <v>-500000</v>
      </c>
      <c r="AK404" s="20">
        <v>12</v>
      </c>
      <c r="AL404" s="20">
        <f t="shared" si="93"/>
        <v>525</v>
      </c>
      <c r="AM404" s="20">
        <f t="shared" si="94"/>
        <v>-262500000</v>
      </c>
      <c r="AN404" s="20"/>
    </row>
    <row r="405" spans="17:45">
      <c r="Q405" s="97" t="s">
        <v>5439</v>
      </c>
      <c r="R405" s="93">
        <v>554139</v>
      </c>
      <c r="T405" s="19" t="s">
        <v>5641</v>
      </c>
      <c r="U405" s="19">
        <v>1351</v>
      </c>
      <c r="V405" s="115">
        <v>2647.94</v>
      </c>
      <c r="W405" s="115">
        <f t="shared" si="92"/>
        <v>3577366.94</v>
      </c>
      <c r="X405" s="263" t="s">
        <v>5114</v>
      </c>
      <c r="AH405" s="147">
        <v>119</v>
      </c>
      <c r="AI405" s="147" t="s">
        <v>976</v>
      </c>
      <c r="AJ405" s="186">
        <v>-50000</v>
      </c>
      <c r="AK405" s="147">
        <v>0</v>
      </c>
      <c r="AL405" s="147">
        <f t="shared" si="93"/>
        <v>513</v>
      </c>
      <c r="AM405" s="147">
        <f t="shared" si="94"/>
        <v>-25650000</v>
      </c>
      <c r="AN405" s="147"/>
    </row>
    <row r="406" spans="17:45">
      <c r="Q406" s="97" t="s">
        <v>5440</v>
      </c>
      <c r="R406" s="93">
        <v>70373089</v>
      </c>
      <c r="T406" s="19" t="s">
        <v>5643</v>
      </c>
      <c r="U406" s="19">
        <v>8402</v>
      </c>
      <c r="V406" s="115">
        <v>2527.8539839999999</v>
      </c>
      <c r="W406" s="115">
        <f t="shared" si="92"/>
        <v>21239029.173567999</v>
      </c>
      <c r="X406" s="263" t="s">
        <v>5114</v>
      </c>
      <c r="AH406" s="20">
        <v>120</v>
      </c>
      <c r="AI406" s="20" t="s">
        <v>976</v>
      </c>
      <c r="AJ406" s="115">
        <v>-50000</v>
      </c>
      <c r="AK406" s="20">
        <v>28</v>
      </c>
      <c r="AL406" s="20">
        <f t="shared" si="93"/>
        <v>513</v>
      </c>
      <c r="AM406" s="20">
        <f t="shared" si="94"/>
        <v>-25650000</v>
      </c>
      <c r="AN406" s="20"/>
    </row>
    <row r="407" spans="17:45">
      <c r="Q407" s="97" t="s">
        <v>5441</v>
      </c>
      <c r="R407" s="93">
        <v>1219655</v>
      </c>
      <c r="T407" s="19" t="s">
        <v>5647</v>
      </c>
      <c r="U407" s="19">
        <v>98141</v>
      </c>
      <c r="V407" s="115">
        <v>2475.593813</v>
      </c>
      <c r="W407" s="115">
        <f t="shared" si="92"/>
        <v>242957252.40163299</v>
      </c>
      <c r="X407" s="263" t="s">
        <v>5114</v>
      </c>
      <c r="AH407" s="20">
        <v>121</v>
      </c>
      <c r="AI407" s="20" t="s">
        <v>5198</v>
      </c>
      <c r="AJ407" s="115">
        <v>-3020625</v>
      </c>
      <c r="AK407" s="20">
        <v>18</v>
      </c>
      <c r="AL407" s="20">
        <f t="shared" si="93"/>
        <v>485</v>
      </c>
      <c r="AM407" s="20">
        <f t="shared" si="94"/>
        <v>-1465003125</v>
      </c>
      <c r="AN407" s="20"/>
    </row>
    <row r="408" spans="17:45">
      <c r="Q408" s="97" t="s">
        <v>5442</v>
      </c>
      <c r="R408" s="93">
        <v>15350146</v>
      </c>
      <c r="T408" s="19" t="s">
        <v>5651</v>
      </c>
      <c r="U408" s="19">
        <v>2910</v>
      </c>
      <c r="V408" s="115">
        <v>2528.240988</v>
      </c>
      <c r="W408" s="115">
        <f t="shared" si="92"/>
        <v>7357181.2750800001</v>
      </c>
      <c r="X408" s="263" t="s">
        <v>5114</v>
      </c>
      <c r="Z408" t="s">
        <v>25</v>
      </c>
      <c r="AH408" s="20">
        <v>122</v>
      </c>
      <c r="AI408" s="20" t="s">
        <v>5209</v>
      </c>
      <c r="AJ408" s="115">
        <v>18000000</v>
      </c>
      <c r="AK408" s="20">
        <v>19</v>
      </c>
      <c r="AL408" s="20">
        <f t="shared" si="93"/>
        <v>467</v>
      </c>
      <c r="AM408" s="20">
        <f t="shared" si="94"/>
        <v>8406000000</v>
      </c>
      <c r="AN408" s="20"/>
    </row>
    <row r="409" spans="17:45">
      <c r="Q409" s="97" t="s">
        <v>5446</v>
      </c>
      <c r="R409" s="93">
        <v>121018</v>
      </c>
      <c r="T409" s="19" t="s">
        <v>5653</v>
      </c>
      <c r="U409" s="19">
        <v>5652</v>
      </c>
      <c r="V409" s="115">
        <v>2645.3312000000001</v>
      </c>
      <c r="W409" s="115">
        <f t="shared" si="92"/>
        <v>14951411.942400001</v>
      </c>
      <c r="X409" s="263" t="s">
        <v>5114</v>
      </c>
      <c r="AH409" s="20">
        <v>123</v>
      </c>
      <c r="AI409" s="20" t="s">
        <v>5236</v>
      </c>
      <c r="AJ409" s="115">
        <v>2000000</v>
      </c>
      <c r="AK409" s="20">
        <v>6</v>
      </c>
      <c r="AL409" s="20">
        <f t="shared" si="93"/>
        <v>448</v>
      </c>
      <c r="AM409" s="20">
        <f t="shared" si="94"/>
        <v>896000000</v>
      </c>
      <c r="AN409" s="20"/>
    </row>
    <row r="410" spans="17:45">
      <c r="Q410" s="97" t="s">
        <v>5458</v>
      </c>
      <c r="R410" s="93">
        <v>1024993</v>
      </c>
      <c r="T410" s="19" t="s">
        <v>5657</v>
      </c>
      <c r="U410" s="19">
        <v>18764</v>
      </c>
      <c r="V410" s="115">
        <v>2554.2639829999998</v>
      </c>
      <c r="W410" s="115">
        <f t="shared" si="92"/>
        <v>47928209.377011999</v>
      </c>
      <c r="X410" s="263" t="s">
        <v>5114</v>
      </c>
      <c r="AA410" t="s">
        <v>25</v>
      </c>
      <c r="AH410" s="147">
        <v>124</v>
      </c>
      <c r="AI410" s="147" t="s">
        <v>5245</v>
      </c>
      <c r="AJ410" s="186">
        <v>40000000</v>
      </c>
      <c r="AK410" s="147">
        <v>6</v>
      </c>
      <c r="AL410" s="147">
        <f t="shared" si="93"/>
        <v>442</v>
      </c>
      <c r="AM410" s="147">
        <f t="shared" si="94"/>
        <v>17680000000</v>
      </c>
      <c r="AN410" s="147"/>
    </row>
    <row r="411" spans="17:45">
      <c r="Q411" s="97" t="s">
        <v>5459</v>
      </c>
      <c r="R411" s="93">
        <v>1948077</v>
      </c>
      <c r="T411" s="19" t="s">
        <v>5659</v>
      </c>
      <c r="U411" s="19">
        <v>930</v>
      </c>
      <c r="V411" s="115">
        <v>2453.3287089999999</v>
      </c>
      <c r="W411" s="115">
        <f t="shared" si="92"/>
        <v>2281595.69937</v>
      </c>
      <c r="X411" s="263" t="s">
        <v>5114</v>
      </c>
      <c r="AH411" s="20">
        <v>125</v>
      </c>
      <c r="AI411" s="20" t="s">
        <v>5254</v>
      </c>
      <c r="AJ411" s="115">
        <v>200000</v>
      </c>
      <c r="AK411" s="20">
        <v>0</v>
      </c>
      <c r="AL411" s="20">
        <f t="shared" si="93"/>
        <v>436</v>
      </c>
      <c r="AM411" s="20">
        <f t="shared" si="94"/>
        <v>87200000</v>
      </c>
      <c r="AN411" s="20"/>
    </row>
    <row r="412" spans="17:45">
      <c r="Q412" s="97" t="s">
        <v>5460</v>
      </c>
      <c r="R412" s="93">
        <v>50000120</v>
      </c>
      <c r="T412" s="19" t="s">
        <v>5661</v>
      </c>
      <c r="U412" s="19">
        <v>1167</v>
      </c>
      <c r="V412" s="115">
        <v>2540.6307069999998</v>
      </c>
      <c r="W412" s="115">
        <f t="shared" si="92"/>
        <v>2964916.035069</v>
      </c>
      <c r="X412" s="263" t="s">
        <v>5114</v>
      </c>
      <c r="AA412" t="s">
        <v>25</v>
      </c>
      <c r="AH412" s="147">
        <v>126</v>
      </c>
      <c r="AI412" s="147" t="s">
        <v>5254</v>
      </c>
      <c r="AJ412" s="186">
        <v>200000</v>
      </c>
      <c r="AK412" s="147">
        <v>1</v>
      </c>
      <c r="AL412" s="147">
        <f t="shared" si="93"/>
        <v>436</v>
      </c>
      <c r="AM412" s="147">
        <f t="shared" si="94"/>
        <v>87200000</v>
      </c>
      <c r="AN412" s="147"/>
    </row>
    <row r="413" spans="17:45">
      <c r="Q413" s="97" t="s">
        <v>5483</v>
      </c>
      <c r="R413" s="93">
        <v>20000055</v>
      </c>
      <c r="T413" s="19" t="s">
        <v>5662</v>
      </c>
      <c r="U413" s="19">
        <v>2538</v>
      </c>
      <c r="V413" s="115">
        <v>2545.5277489999999</v>
      </c>
      <c r="W413" s="115">
        <f t="shared" si="92"/>
        <v>6460549.4269619994</v>
      </c>
      <c r="X413" s="263"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5484</v>
      </c>
      <c r="R414" s="93">
        <v>5745697</v>
      </c>
      <c r="T414" s="19" t="s">
        <v>5664</v>
      </c>
      <c r="U414" s="19">
        <v>2106</v>
      </c>
      <c r="V414" s="115">
        <v>2474.9857059999999</v>
      </c>
      <c r="W414" s="115">
        <f t="shared" si="92"/>
        <v>5212319.8968359996</v>
      </c>
      <c r="X414" s="263"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5485</v>
      </c>
      <c r="R415" s="93">
        <v>908158</v>
      </c>
      <c r="T415" s="19" t="s">
        <v>5667</v>
      </c>
      <c r="U415" s="19">
        <v>1801</v>
      </c>
      <c r="V415" s="115">
        <v>2512.2134809999998</v>
      </c>
      <c r="W415" s="115">
        <f t="shared" si="92"/>
        <v>4524496.4792809999</v>
      </c>
      <c r="X415" s="263" t="s">
        <v>5114</v>
      </c>
      <c r="AH415" s="20">
        <v>129</v>
      </c>
      <c r="AI415" s="20" t="s">
        <v>5275</v>
      </c>
      <c r="AJ415" s="115">
        <v>-550000</v>
      </c>
      <c r="AK415" s="20">
        <v>5</v>
      </c>
      <c r="AL415" s="20">
        <f t="shared" si="95"/>
        <v>422</v>
      </c>
      <c r="AM415" s="20">
        <f t="shared" si="96"/>
        <v>-232100000</v>
      </c>
      <c r="AN415" s="20"/>
      <c r="AS415" t="s">
        <v>25</v>
      </c>
    </row>
    <row r="416" spans="17:45">
      <c r="Q416" s="97" t="s">
        <v>5486</v>
      </c>
      <c r="R416" s="93">
        <v>12642697</v>
      </c>
      <c r="T416" s="19" t="s">
        <v>5669</v>
      </c>
      <c r="U416" s="19">
        <v>9184</v>
      </c>
      <c r="V416" s="115">
        <v>2489.76919</v>
      </c>
      <c r="W416" s="115">
        <f t="shared" si="92"/>
        <v>22866040.240959998</v>
      </c>
      <c r="X416" s="263" t="s">
        <v>5114</v>
      </c>
      <c r="AH416" s="20">
        <v>130</v>
      </c>
      <c r="AI416" s="20" t="s">
        <v>5280</v>
      </c>
      <c r="AJ416" s="115">
        <v>-29686490</v>
      </c>
      <c r="AK416" s="20">
        <v>1</v>
      </c>
      <c r="AL416" s="20">
        <f t="shared" si="95"/>
        <v>417</v>
      </c>
      <c r="AM416" s="20">
        <f t="shared" si="96"/>
        <v>-12379266330</v>
      </c>
      <c r="AN416" s="20"/>
    </row>
    <row r="417" spans="17:45">
      <c r="Q417" s="97" t="s">
        <v>5487</v>
      </c>
      <c r="R417" s="93">
        <v>12297317.81435</v>
      </c>
      <c r="T417" s="19" t="s">
        <v>5671</v>
      </c>
      <c r="U417" s="19">
        <v>6259</v>
      </c>
      <c r="V417" s="115">
        <v>2453.954988</v>
      </c>
      <c r="W417" s="115">
        <f t="shared" si="92"/>
        <v>15359304.269892</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5488</v>
      </c>
      <c r="R418" s="93">
        <v>8959643.8508579992</v>
      </c>
      <c r="T418" s="19" t="s">
        <v>5673</v>
      </c>
      <c r="U418" s="19">
        <v>1223</v>
      </c>
      <c r="V418" s="115">
        <v>2345.4686710000001</v>
      </c>
      <c r="W418" s="115">
        <f t="shared" si="92"/>
        <v>2868508.1846330003</v>
      </c>
      <c r="X418" s="263" t="s">
        <v>5114</v>
      </c>
      <c r="AH418" s="20">
        <v>132</v>
      </c>
      <c r="AI418" s="20" t="s">
        <v>5332</v>
      </c>
      <c r="AJ418" s="115">
        <v>810000</v>
      </c>
      <c r="AK418" s="20">
        <v>2</v>
      </c>
      <c r="AL418" s="20">
        <f t="shared" si="95"/>
        <v>408</v>
      </c>
      <c r="AM418" s="20">
        <f t="shared" si="96"/>
        <v>330480000</v>
      </c>
      <c r="AN418" s="20"/>
    </row>
    <row r="419" spans="17:45">
      <c r="Q419" s="97" t="s">
        <v>5503</v>
      </c>
      <c r="R419" s="93">
        <v>15154095.839328</v>
      </c>
      <c r="S419" t="s">
        <v>25</v>
      </c>
      <c r="T419" s="19" t="s">
        <v>5674</v>
      </c>
      <c r="U419" s="19">
        <v>7804</v>
      </c>
      <c r="V419" s="115">
        <v>2236.0831640000001</v>
      </c>
      <c r="W419" s="115">
        <f t="shared" si="92"/>
        <v>17450393.011856001</v>
      </c>
      <c r="X419" s="263" t="s">
        <v>5114</v>
      </c>
      <c r="AH419" s="20">
        <v>133</v>
      </c>
      <c r="AI419" s="20" t="s">
        <v>5337</v>
      </c>
      <c r="AJ419" s="115">
        <v>-5000000</v>
      </c>
      <c r="AK419" s="20">
        <v>3</v>
      </c>
      <c r="AL419" s="20">
        <f t="shared" si="95"/>
        <v>406</v>
      </c>
      <c r="AM419" s="20">
        <f t="shared" si="96"/>
        <v>-2030000000</v>
      </c>
      <c r="AN419" s="20"/>
    </row>
    <row r="420" spans="17:45">
      <c r="Q420" s="97" t="s">
        <v>5504</v>
      </c>
      <c r="R420" s="93">
        <v>50725508.571864001</v>
      </c>
      <c r="T420" s="19" t="s">
        <v>5675</v>
      </c>
      <c r="U420" s="19">
        <v>14589</v>
      </c>
      <c r="V420" s="115">
        <v>2151.5486500000002</v>
      </c>
      <c r="W420" s="115">
        <f t="shared" si="92"/>
        <v>31388943.254850004</v>
      </c>
      <c r="X420" s="263" t="s">
        <v>5114</v>
      </c>
      <c r="AH420" s="20">
        <v>134</v>
      </c>
      <c r="AI420" s="20" t="s">
        <v>5341</v>
      </c>
      <c r="AJ420" s="115">
        <v>-26000000</v>
      </c>
      <c r="AK420" s="20">
        <v>0</v>
      </c>
      <c r="AL420" s="20">
        <f t="shared" si="95"/>
        <v>403</v>
      </c>
      <c r="AM420" s="20">
        <f t="shared" si="96"/>
        <v>-10478000000</v>
      </c>
      <c r="AN420" s="20"/>
      <c r="AR420" t="s">
        <v>25</v>
      </c>
    </row>
    <row r="421" spans="17:45">
      <c r="Q421" s="97" t="s">
        <v>5511</v>
      </c>
      <c r="R421" s="93">
        <v>2281961.458596</v>
      </c>
      <c r="T421" s="19" t="s">
        <v>5676</v>
      </c>
      <c r="U421" s="19">
        <v>14741</v>
      </c>
      <c r="V421" s="115">
        <v>2097.0148140000001</v>
      </c>
      <c r="W421" s="115">
        <f t="shared" si="92"/>
        <v>30912095.373174001</v>
      </c>
      <c r="X421" s="263" t="s">
        <v>5114</v>
      </c>
      <c r="Y421" t="s">
        <v>25</v>
      </c>
      <c r="AH421" s="242">
        <v>135</v>
      </c>
      <c r="AI421" s="242" t="s">
        <v>5341</v>
      </c>
      <c r="AJ421" s="233">
        <v>-26000000</v>
      </c>
      <c r="AK421" s="242">
        <v>1</v>
      </c>
      <c r="AL421" s="242">
        <f t="shared" si="95"/>
        <v>403</v>
      </c>
      <c r="AM421" s="242">
        <f t="shared" si="96"/>
        <v>-10478000000</v>
      </c>
      <c r="AN421" s="242"/>
    </row>
    <row r="422" spans="17:45">
      <c r="Q422" s="97" t="s">
        <v>5512</v>
      </c>
      <c r="R422" s="93">
        <v>10998285</v>
      </c>
      <c r="T422" s="19" t="s">
        <v>5678</v>
      </c>
      <c r="U422" s="19">
        <v>10237</v>
      </c>
      <c r="V422" s="115">
        <v>1914.9092619999999</v>
      </c>
      <c r="W422" s="115">
        <f t="shared" si="92"/>
        <v>19602926.115093999</v>
      </c>
      <c r="X422" s="263" t="s">
        <v>5114</v>
      </c>
      <c r="Z422" t="s">
        <v>25</v>
      </c>
      <c r="AH422" s="20">
        <v>136</v>
      </c>
      <c r="AI422" s="20" t="s">
        <v>5346</v>
      </c>
      <c r="AJ422" s="115">
        <v>-81800000</v>
      </c>
      <c r="AK422" s="20">
        <v>0</v>
      </c>
      <c r="AL422" s="20">
        <f t="shared" si="95"/>
        <v>402</v>
      </c>
      <c r="AM422" s="20">
        <f t="shared" si="96"/>
        <v>-32883600000</v>
      </c>
      <c r="AN422" s="20"/>
    </row>
    <row r="423" spans="17:45">
      <c r="Q423" s="97" t="s">
        <v>5514</v>
      </c>
      <c r="R423" s="93">
        <v>983018.96187300002</v>
      </c>
      <c r="S423" t="s">
        <v>25</v>
      </c>
      <c r="T423" s="19" t="s">
        <v>5682</v>
      </c>
      <c r="U423" s="19">
        <v>19211</v>
      </c>
      <c r="V423" s="115">
        <v>1793.6906100000001</v>
      </c>
      <c r="W423" s="115">
        <f t="shared" si="92"/>
        <v>34458590.308710001</v>
      </c>
      <c r="X423" s="263" t="s">
        <v>5114</v>
      </c>
      <c r="Z423" t="s">
        <v>25</v>
      </c>
      <c r="AH423" s="242">
        <v>137</v>
      </c>
      <c r="AI423" s="242" t="s">
        <v>5346</v>
      </c>
      <c r="AJ423" s="233">
        <v>-110000000</v>
      </c>
      <c r="AK423" s="242">
        <v>1</v>
      </c>
      <c r="AL423" s="242">
        <f t="shared" si="95"/>
        <v>402</v>
      </c>
      <c r="AM423" s="242">
        <f t="shared" si="96"/>
        <v>-44220000000</v>
      </c>
      <c r="AN423" s="242"/>
    </row>
    <row r="424" spans="17:45">
      <c r="Q424" s="97" t="s">
        <v>5517</v>
      </c>
      <c r="R424" s="93">
        <v>17049271.032000002</v>
      </c>
      <c r="T424" s="19" t="s">
        <v>5684</v>
      </c>
      <c r="U424" s="19">
        <v>11599</v>
      </c>
      <c r="V424" s="115">
        <v>1870.667144</v>
      </c>
      <c r="W424" s="115">
        <f t="shared" si="92"/>
        <v>21697868.203256</v>
      </c>
      <c r="X424" s="263"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5686</v>
      </c>
      <c r="U425" s="19">
        <v>14098</v>
      </c>
      <c r="V425" s="115">
        <v>1797.423695</v>
      </c>
      <c r="W425" s="115">
        <f t="shared" si="92"/>
        <v>25340079.252110001</v>
      </c>
      <c r="X425" s="263"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5538</v>
      </c>
      <c r="R426" s="93">
        <v>6982608.8207999999</v>
      </c>
      <c r="T426" s="19" t="s">
        <v>5687</v>
      </c>
      <c r="U426" s="19">
        <v>8497</v>
      </c>
      <c r="V426" s="115">
        <v>1739.5531579999999</v>
      </c>
      <c r="W426" s="115">
        <f t="shared" si="92"/>
        <v>14780983.183526</v>
      </c>
      <c r="X426" s="263" t="s">
        <v>5114</v>
      </c>
      <c r="AH426" s="20">
        <v>140</v>
      </c>
      <c r="AI426" s="20" t="s">
        <v>5360</v>
      </c>
      <c r="AJ426" s="115">
        <v>1000000</v>
      </c>
      <c r="AK426" s="20">
        <v>0</v>
      </c>
      <c r="AL426" s="20">
        <f t="shared" si="97"/>
        <v>396</v>
      </c>
      <c r="AM426" s="20">
        <f t="shared" si="98"/>
        <v>396000000</v>
      </c>
      <c r="AN426" s="20"/>
    </row>
    <row r="427" spans="17:45" ht="30">
      <c r="Q427" s="97" t="s">
        <v>5544</v>
      </c>
      <c r="R427" s="93">
        <v>7510131.0216000006</v>
      </c>
      <c r="T427" s="284" t="s">
        <v>5690</v>
      </c>
      <c r="U427" s="284">
        <v>163820</v>
      </c>
      <c r="V427" s="88">
        <v>1588.685326</v>
      </c>
      <c r="W427" s="88">
        <f t="shared" si="92"/>
        <v>260258430.10532001</v>
      </c>
      <c r="X427" s="301" t="s">
        <v>5693</v>
      </c>
      <c r="AH427" s="147">
        <v>141</v>
      </c>
      <c r="AI427" s="147" t="s">
        <v>5360</v>
      </c>
      <c r="AJ427" s="186">
        <v>1000000</v>
      </c>
      <c r="AK427" s="147">
        <v>4</v>
      </c>
      <c r="AL427" s="147">
        <f t="shared" si="97"/>
        <v>396</v>
      </c>
      <c r="AM427" s="147">
        <f t="shared" si="98"/>
        <v>396000000</v>
      </c>
      <c r="AN427" s="147"/>
    </row>
    <row r="428" spans="17:45">
      <c r="Q428" s="97" t="s">
        <v>5553</v>
      </c>
      <c r="R428" s="93">
        <v>7278025.5327000003</v>
      </c>
      <c r="T428" s="19" t="s">
        <v>5690</v>
      </c>
      <c r="U428" s="19">
        <v>11207</v>
      </c>
      <c r="V428" s="115">
        <v>1588.685326</v>
      </c>
      <c r="W428" s="115">
        <f t="shared" si="92"/>
        <v>17804396.448481999</v>
      </c>
      <c r="X428" s="263" t="s">
        <v>5114</v>
      </c>
      <c r="Y428" t="s">
        <v>25</v>
      </c>
      <c r="Z428" t="s">
        <v>25</v>
      </c>
      <c r="AH428" s="20">
        <v>142</v>
      </c>
      <c r="AI428" s="20" t="s">
        <v>5366</v>
      </c>
      <c r="AJ428" s="115">
        <v>400000</v>
      </c>
      <c r="AK428" s="20">
        <v>0</v>
      </c>
      <c r="AL428" s="20">
        <f t="shared" si="97"/>
        <v>392</v>
      </c>
      <c r="AM428" s="20">
        <f t="shared" si="98"/>
        <v>156800000</v>
      </c>
      <c r="AN428" s="20"/>
    </row>
    <row r="429" spans="17:45">
      <c r="Q429" s="97" t="s">
        <v>5558</v>
      </c>
      <c r="R429" s="93">
        <v>195059.35799999998</v>
      </c>
      <c r="T429" s="19" t="s">
        <v>5694</v>
      </c>
      <c r="U429" s="19">
        <v>7198</v>
      </c>
      <c r="V429" s="115">
        <v>1602.9918909999999</v>
      </c>
      <c r="W429" s="115">
        <f t="shared" si="92"/>
        <v>11538335.631417999</v>
      </c>
      <c r="X429" s="263" t="s">
        <v>5114</v>
      </c>
      <c r="Y429" t="s">
        <v>25</v>
      </c>
      <c r="AH429" s="147">
        <v>143</v>
      </c>
      <c r="AI429" s="147" t="s">
        <v>5366</v>
      </c>
      <c r="AJ429" s="186">
        <v>400000</v>
      </c>
      <c r="AK429" s="147">
        <v>35</v>
      </c>
      <c r="AL429" s="147">
        <f t="shared" si="97"/>
        <v>392</v>
      </c>
      <c r="AM429" s="147">
        <f t="shared" si="98"/>
        <v>156800000</v>
      </c>
      <c r="AN429" s="147"/>
    </row>
    <row r="430" spans="17:45">
      <c r="Q430" s="97" t="s">
        <v>5560</v>
      </c>
      <c r="R430" s="93">
        <v>862577.83200000005</v>
      </c>
      <c r="T430" s="19" t="s">
        <v>5695</v>
      </c>
      <c r="U430" s="19">
        <v>7804</v>
      </c>
      <c r="V430" s="115">
        <v>1592.7111440000001</v>
      </c>
      <c r="W430" s="115">
        <f t="shared" si="92"/>
        <v>12429517.767776001</v>
      </c>
      <c r="X430" s="263" t="s">
        <v>5114</v>
      </c>
      <c r="Z430" t="s">
        <v>25</v>
      </c>
      <c r="AH430" s="20">
        <v>144</v>
      </c>
      <c r="AI430" s="20" t="s">
        <v>5400</v>
      </c>
      <c r="AJ430" s="115">
        <v>3000000</v>
      </c>
      <c r="AK430" s="20">
        <v>0</v>
      </c>
      <c r="AL430" s="20">
        <f t="shared" si="97"/>
        <v>357</v>
      </c>
      <c r="AM430" s="20">
        <f t="shared" si="98"/>
        <v>1071000000</v>
      </c>
      <c r="AN430" s="20"/>
    </row>
    <row r="431" spans="17:45">
      <c r="Q431" s="97" t="s">
        <v>5561</v>
      </c>
      <c r="R431" s="93">
        <v>920308.446</v>
      </c>
      <c r="T431" s="19" t="s">
        <v>5703</v>
      </c>
      <c r="U431" s="19">
        <v>2827</v>
      </c>
      <c r="V431" s="115">
        <v>1779.6874809999999</v>
      </c>
      <c r="W431" s="115">
        <f t="shared" si="92"/>
        <v>5031176.5087869996</v>
      </c>
      <c r="X431" s="263"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5563</v>
      </c>
      <c r="R432" s="93">
        <v>4635809.8416840006</v>
      </c>
      <c r="S432" t="s">
        <v>25</v>
      </c>
      <c r="T432" s="19" t="s">
        <v>5705</v>
      </c>
      <c r="U432" s="19">
        <v>3385</v>
      </c>
      <c r="V432" s="115">
        <v>2015.5993820000001</v>
      </c>
      <c r="W432" s="115">
        <f t="shared" si="92"/>
        <v>6822803.9080700008</v>
      </c>
      <c r="X432" s="263"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5592</v>
      </c>
      <c r="R433" s="93">
        <v>288892.40000000002</v>
      </c>
      <c r="T433" s="19" t="s">
        <v>5709</v>
      </c>
      <c r="U433" s="19">
        <v>158</v>
      </c>
      <c r="V433" s="115">
        <v>2094.2388179999998</v>
      </c>
      <c r="W433" s="115">
        <f t="shared" si="92"/>
        <v>330889.73324399994</v>
      </c>
      <c r="X433" s="263" t="s">
        <v>5114</v>
      </c>
      <c r="Y433" t="s">
        <v>25</v>
      </c>
      <c r="AH433" s="20">
        <v>147</v>
      </c>
      <c r="AI433" s="20" t="s">
        <v>5298</v>
      </c>
      <c r="AJ433" s="115">
        <v>-65461942</v>
      </c>
      <c r="AK433" s="20">
        <v>1</v>
      </c>
      <c r="AL433" s="20">
        <f t="shared" si="99"/>
        <v>338</v>
      </c>
      <c r="AM433" s="20">
        <f t="shared" si="100"/>
        <v>-22126136396</v>
      </c>
      <c r="AN433" s="20" t="s">
        <v>4737</v>
      </c>
    </row>
    <row r="434" spans="17:45">
      <c r="Q434" s="97" t="s">
        <v>5593</v>
      </c>
      <c r="R434" s="93">
        <v>58508002.009000003</v>
      </c>
      <c r="T434" s="19" t="s">
        <v>965</v>
      </c>
      <c r="U434" s="19">
        <v>5033</v>
      </c>
      <c r="V434" s="115">
        <v>2229.4976999999999</v>
      </c>
      <c r="W434" s="115">
        <f t="shared" si="92"/>
        <v>11221061.924099999</v>
      </c>
      <c r="X434" s="263" t="s">
        <v>5714</v>
      </c>
      <c r="Z434" t="s">
        <v>25</v>
      </c>
      <c r="AH434" s="20">
        <v>148</v>
      </c>
      <c r="AI434" s="20" t="s">
        <v>5423</v>
      </c>
      <c r="AJ434" s="115">
        <v>35000000</v>
      </c>
      <c r="AK434" s="20">
        <v>15</v>
      </c>
      <c r="AL434" s="20">
        <f t="shared" si="99"/>
        <v>337</v>
      </c>
      <c r="AM434" s="20">
        <f t="shared" si="100"/>
        <v>11795000000</v>
      </c>
      <c r="AN434" s="20"/>
    </row>
    <row r="435" spans="17:45">
      <c r="Q435" s="97" t="s">
        <v>5595</v>
      </c>
      <c r="R435" s="93">
        <v>2245515.5410799999</v>
      </c>
      <c r="T435" s="19" t="s">
        <v>5718</v>
      </c>
      <c r="U435" s="19">
        <v>2870</v>
      </c>
      <c r="V435" s="115">
        <v>2303.2467459999998</v>
      </c>
      <c r="W435" s="115">
        <f t="shared" si="92"/>
        <v>6610318.1610199995</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5595</v>
      </c>
      <c r="R436" s="93">
        <v>18404699.3442</v>
      </c>
      <c r="T436" s="19" t="s">
        <v>5719</v>
      </c>
      <c r="U436" s="19">
        <v>307</v>
      </c>
      <c r="V436" s="115">
        <v>2315.0266360000001</v>
      </c>
      <c r="W436" s="115">
        <f t="shared" si="92"/>
        <v>710713.17725199996</v>
      </c>
      <c r="X436" s="263" t="s">
        <v>5114</v>
      </c>
      <c r="AH436" s="20">
        <v>150</v>
      </c>
      <c r="AI436" s="20" t="s">
        <v>5442</v>
      </c>
      <c r="AJ436" s="115">
        <v>1600000</v>
      </c>
      <c r="AK436" s="20">
        <v>1</v>
      </c>
      <c r="AL436" s="20">
        <f t="shared" si="101"/>
        <v>322</v>
      </c>
      <c r="AM436" s="20">
        <f t="shared" si="102"/>
        <v>515200000</v>
      </c>
      <c r="AN436" s="20"/>
    </row>
    <row r="437" spans="17:45" ht="30">
      <c r="Q437" s="97" t="s">
        <v>5598</v>
      </c>
      <c r="R437" s="93">
        <v>48684800</v>
      </c>
      <c r="S437" t="s">
        <v>25</v>
      </c>
      <c r="T437" s="19" t="s">
        <v>5721</v>
      </c>
      <c r="U437" s="19">
        <v>35</v>
      </c>
      <c r="V437" s="115">
        <v>2315</v>
      </c>
      <c r="W437" s="115">
        <f t="shared" si="92"/>
        <v>81025</v>
      </c>
      <c r="X437" s="263" t="s">
        <v>5723</v>
      </c>
      <c r="Y437" s="112"/>
      <c r="AH437" s="147">
        <v>151</v>
      </c>
      <c r="AI437" s="147" t="s">
        <v>5445</v>
      </c>
      <c r="AJ437" s="186">
        <v>600000</v>
      </c>
      <c r="AK437" s="147">
        <v>0</v>
      </c>
      <c r="AL437" s="147">
        <f t="shared" si="101"/>
        <v>321</v>
      </c>
      <c r="AM437" s="147">
        <f t="shared" si="102"/>
        <v>192600000</v>
      </c>
      <c r="AN437" s="147" t="s">
        <v>5447</v>
      </c>
    </row>
    <row r="438" spans="17:45">
      <c r="Q438" s="97" t="s">
        <v>5600</v>
      </c>
      <c r="R438" s="93">
        <v>2264658.5922190002</v>
      </c>
      <c r="T438" s="19" t="s">
        <v>5724</v>
      </c>
      <c r="U438" s="19">
        <v>94</v>
      </c>
      <c r="V438" s="115">
        <v>2337.1980119999998</v>
      </c>
      <c r="W438" s="115">
        <f t="shared" si="92"/>
        <v>219696.613128</v>
      </c>
      <c r="X438" s="263" t="s">
        <v>5114</v>
      </c>
      <c r="Y438" t="s">
        <v>25</v>
      </c>
      <c r="Z438" t="s">
        <v>25</v>
      </c>
      <c r="AH438" s="20">
        <v>152</v>
      </c>
      <c r="AI438" s="20" t="s">
        <v>5445</v>
      </c>
      <c r="AJ438" s="115">
        <v>600000</v>
      </c>
      <c r="AK438" s="20">
        <v>9</v>
      </c>
      <c r="AL438" s="20">
        <f>AK438+AL439</f>
        <v>321</v>
      </c>
      <c r="AM438" s="20">
        <f t="shared" si="102"/>
        <v>192600000</v>
      </c>
      <c r="AN438" s="20" t="s">
        <v>5447</v>
      </c>
    </row>
    <row r="439" spans="17:45">
      <c r="Q439" s="97" t="s">
        <v>5603</v>
      </c>
      <c r="R439" s="93">
        <v>22877413.789960001</v>
      </c>
      <c r="T439" s="19" t="s">
        <v>5725</v>
      </c>
      <c r="U439" s="19">
        <v>2534</v>
      </c>
      <c r="V439" s="115">
        <v>2381.7965300000001</v>
      </c>
      <c r="W439" s="115">
        <f t="shared" si="92"/>
        <v>6035472.4070199998</v>
      </c>
      <c r="X439" s="263" t="s">
        <v>5114</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5604</v>
      </c>
      <c r="R440" s="93">
        <v>2362539.4373280001</v>
      </c>
      <c r="T440" s="19" t="s">
        <v>5727</v>
      </c>
      <c r="U440" s="19">
        <v>424</v>
      </c>
      <c r="V440" s="115">
        <v>2321.9017680000002</v>
      </c>
      <c r="W440" s="115">
        <f t="shared" si="92"/>
        <v>984486.34963200008</v>
      </c>
      <c r="X440" s="263" t="s">
        <v>5114</v>
      </c>
      <c r="Z440" t="s">
        <v>25</v>
      </c>
      <c r="AH440" s="20">
        <v>154</v>
      </c>
      <c r="AI440" s="20" t="s">
        <v>5495</v>
      </c>
      <c r="AJ440" s="115">
        <v>-46183500</v>
      </c>
      <c r="AK440" s="20">
        <v>0</v>
      </c>
      <c r="AL440" s="20">
        <f t="shared" si="103"/>
        <v>289</v>
      </c>
      <c r="AM440" s="20">
        <f t="shared" si="104"/>
        <v>-13347031500</v>
      </c>
      <c r="AN440" s="20" t="s">
        <v>4865</v>
      </c>
    </row>
    <row r="441" spans="17:45">
      <c r="Q441" s="97" t="s">
        <v>5605</v>
      </c>
      <c r="R441" s="93">
        <v>16042676.656608</v>
      </c>
      <c r="T441" s="187" t="s">
        <v>5729</v>
      </c>
      <c r="U441" s="187">
        <v>-32</v>
      </c>
      <c r="V441" s="186">
        <v>2221.2123710000001</v>
      </c>
      <c r="W441" s="186">
        <f t="shared" si="92"/>
        <v>-71078.795872000002</v>
      </c>
      <c r="X441" s="262" t="s">
        <v>5733</v>
      </c>
      <c r="AH441" s="147">
        <v>155</v>
      </c>
      <c r="AI441" s="147" t="s">
        <v>5495</v>
      </c>
      <c r="AJ441" s="186">
        <v>-1812800</v>
      </c>
      <c r="AK441" s="147">
        <v>2</v>
      </c>
      <c r="AL441" s="147">
        <f>AK441+AL442</f>
        <v>289</v>
      </c>
      <c r="AM441" s="147">
        <f t="shared" si="104"/>
        <v>-523899200</v>
      </c>
      <c r="AN441" s="147" t="s">
        <v>4865</v>
      </c>
    </row>
    <row r="442" spans="17:45">
      <c r="Q442" s="97" t="s">
        <v>5608</v>
      </c>
      <c r="R442" s="93">
        <v>18403291.448284</v>
      </c>
      <c r="T442" s="19" t="s">
        <v>5729</v>
      </c>
      <c r="U442" s="19">
        <v>157</v>
      </c>
      <c r="V442" s="115">
        <v>2221.2123710000001</v>
      </c>
      <c r="W442" s="115">
        <f t="shared" si="92"/>
        <v>348730.34224700002</v>
      </c>
      <c r="X442" s="263" t="s">
        <v>5734</v>
      </c>
      <c r="AH442" s="20">
        <v>156</v>
      </c>
      <c r="AI442" s="20" t="s">
        <v>5499</v>
      </c>
      <c r="AJ442" s="115">
        <v>90000</v>
      </c>
      <c r="AK442" s="20">
        <v>0</v>
      </c>
      <c r="AL442" s="20">
        <f t="shared" ref="AL442:AL456" si="105">AK442+AL443</f>
        <v>287</v>
      </c>
      <c r="AM442" s="20">
        <f t="shared" ref="AM442:AM456" si="106">AJ442*AL442</f>
        <v>25830000</v>
      </c>
      <c r="AN442" s="20"/>
    </row>
    <row r="443" spans="17:45">
      <c r="Q443" s="97" t="s">
        <v>5609</v>
      </c>
      <c r="R443" s="93">
        <v>10561447.246918</v>
      </c>
      <c r="T443" s="19" t="s">
        <v>5729</v>
      </c>
      <c r="U443" s="19">
        <v>965</v>
      </c>
      <c r="V443" s="115">
        <v>2221.2123710000001</v>
      </c>
      <c r="W443" s="115">
        <f t="shared" si="92"/>
        <v>2143469.938015</v>
      </c>
      <c r="X443" s="263" t="s">
        <v>5114</v>
      </c>
      <c r="AH443" s="147">
        <v>157</v>
      </c>
      <c r="AI443" s="147" t="s">
        <v>5499</v>
      </c>
      <c r="AJ443" s="186">
        <v>60000</v>
      </c>
      <c r="AK443" s="147">
        <v>5</v>
      </c>
      <c r="AL443" s="147">
        <f t="shared" si="105"/>
        <v>287</v>
      </c>
      <c r="AM443" s="147">
        <f t="shared" si="106"/>
        <v>17220000</v>
      </c>
      <c r="AN443" s="147"/>
    </row>
    <row r="444" spans="17:45">
      <c r="Q444" s="97" t="s">
        <v>5610</v>
      </c>
      <c r="R444" s="93">
        <v>1226811.9176660001</v>
      </c>
      <c r="T444" s="187" t="s">
        <v>5736</v>
      </c>
      <c r="U444" s="187">
        <v>596</v>
      </c>
      <c r="V444" s="186">
        <v>2180.6765719999999</v>
      </c>
      <c r="W444" s="186">
        <f t="shared" si="92"/>
        <v>1299683.236912</v>
      </c>
      <c r="X444" s="262" t="s">
        <v>1071</v>
      </c>
      <c r="Y444" t="s">
        <v>25</v>
      </c>
      <c r="AH444" s="20">
        <v>158</v>
      </c>
      <c r="AI444" s="20" t="s">
        <v>5504</v>
      </c>
      <c r="AJ444" s="115">
        <v>50000000</v>
      </c>
      <c r="AK444" s="20">
        <v>29</v>
      </c>
      <c r="AL444" s="20">
        <f t="shared" si="105"/>
        <v>282</v>
      </c>
      <c r="AM444" s="20">
        <f t="shared" si="106"/>
        <v>14100000000</v>
      </c>
      <c r="AN444" s="20" t="s">
        <v>5506</v>
      </c>
      <c r="AR444" t="s">
        <v>25</v>
      </c>
    </row>
    <row r="445" spans="17:45">
      <c r="Q445" s="97" t="s">
        <v>5615</v>
      </c>
      <c r="R445" s="93">
        <v>39373959.190266006</v>
      </c>
      <c r="T445" s="19" t="s">
        <v>5741</v>
      </c>
      <c r="U445" s="19">
        <v>1355</v>
      </c>
      <c r="V445" s="115">
        <v>2277.0926330000002</v>
      </c>
      <c r="W445" s="115">
        <f t="shared" si="92"/>
        <v>3085460.5177150001</v>
      </c>
      <c r="X445" s="263" t="s">
        <v>5114</v>
      </c>
      <c r="AH445" s="20">
        <v>159</v>
      </c>
      <c r="AI445" s="20" t="s">
        <v>5563</v>
      </c>
      <c r="AJ445" s="115">
        <v>100000</v>
      </c>
      <c r="AK445" s="20">
        <v>1</v>
      </c>
      <c r="AL445" s="20">
        <f t="shared" si="105"/>
        <v>253</v>
      </c>
      <c r="AM445" s="20">
        <f t="shared" si="106"/>
        <v>25300000</v>
      </c>
      <c r="AN445" s="20"/>
    </row>
    <row r="446" spans="17:45">
      <c r="Q446" s="97" t="s">
        <v>5616</v>
      </c>
      <c r="R446" s="93">
        <v>27703487.063980002</v>
      </c>
      <c r="T446" s="19" t="s">
        <v>5743</v>
      </c>
      <c r="U446" s="19">
        <v>3742</v>
      </c>
      <c r="V446" s="115">
        <v>2207.7650429999999</v>
      </c>
      <c r="W446" s="115">
        <f t="shared" si="92"/>
        <v>8261456.790906</v>
      </c>
      <c r="X446" s="263" t="s">
        <v>5114</v>
      </c>
      <c r="Y446" t="s">
        <v>25</v>
      </c>
      <c r="AH446" s="147">
        <v>160</v>
      </c>
      <c r="AI446" s="147" t="s">
        <v>5552</v>
      </c>
      <c r="AJ446" s="186">
        <v>150000</v>
      </c>
      <c r="AK446" s="147">
        <v>0</v>
      </c>
      <c r="AL446" s="147">
        <f t="shared" si="105"/>
        <v>252</v>
      </c>
      <c r="AM446" s="147">
        <f t="shared" si="106"/>
        <v>37800000</v>
      </c>
      <c r="AN446" s="147"/>
      <c r="AQ446" t="s">
        <v>25</v>
      </c>
    </row>
    <row r="447" spans="17:45">
      <c r="Q447" s="97" t="s">
        <v>4185</v>
      </c>
      <c r="R447" s="93">
        <v>8738896.6890719999</v>
      </c>
      <c r="T447" s="19" t="s">
        <v>5745</v>
      </c>
      <c r="U447" s="19">
        <v>3216</v>
      </c>
      <c r="V447" s="115">
        <v>2043.648557</v>
      </c>
      <c r="W447" s="115">
        <f t="shared" si="92"/>
        <v>6572373.7593120001</v>
      </c>
      <c r="X447" s="263" t="s">
        <v>5114</v>
      </c>
      <c r="AH447" s="20">
        <v>161</v>
      </c>
      <c r="AI447" s="20" t="s">
        <v>5552</v>
      </c>
      <c r="AJ447" s="115">
        <v>-683050</v>
      </c>
      <c r="AK447" s="20">
        <v>7</v>
      </c>
      <c r="AL447" s="20">
        <f t="shared" si="105"/>
        <v>252</v>
      </c>
      <c r="AM447" s="20">
        <f t="shared" si="106"/>
        <v>-172128600</v>
      </c>
      <c r="AN447" s="20" t="s">
        <v>5566</v>
      </c>
    </row>
    <row r="448" spans="17:45">
      <c r="Q448" s="97" t="s">
        <v>5618</v>
      </c>
      <c r="R448" s="93">
        <v>348201.66738</v>
      </c>
      <c r="T448" s="187" t="s">
        <v>5748</v>
      </c>
      <c r="U448" s="187">
        <v>42393</v>
      </c>
      <c r="V448" s="186">
        <v>2124.4852740000001</v>
      </c>
      <c r="W448" s="186">
        <f t="shared" si="92"/>
        <v>90063304.22068201</v>
      </c>
      <c r="X448" s="262" t="s">
        <v>5749</v>
      </c>
      <c r="Y448" t="s">
        <v>25</v>
      </c>
      <c r="AH448" s="147">
        <v>162</v>
      </c>
      <c r="AI448" s="147" t="s">
        <v>5574</v>
      </c>
      <c r="AJ448" s="186">
        <v>200000</v>
      </c>
      <c r="AK448" s="147">
        <v>7</v>
      </c>
      <c r="AL448" s="147">
        <f t="shared" si="105"/>
        <v>245</v>
      </c>
      <c r="AM448" s="147">
        <f t="shared" si="106"/>
        <v>49000000</v>
      </c>
      <c r="AN448" s="147"/>
    </row>
    <row r="449" spans="17:44">
      <c r="Q449" s="97" t="s">
        <v>5622</v>
      </c>
      <c r="R449" s="93">
        <v>4158090.8935679998</v>
      </c>
      <c r="T449" s="19" t="s">
        <v>5750</v>
      </c>
      <c r="U449" s="19">
        <v>1307</v>
      </c>
      <c r="V449" s="115">
        <v>2213.652313</v>
      </c>
      <c r="W449" s="115">
        <f t="shared" si="92"/>
        <v>2893243.5730909999</v>
      </c>
      <c r="X449" s="263" t="s">
        <v>5114</v>
      </c>
      <c r="AH449" s="147">
        <v>163</v>
      </c>
      <c r="AI449" s="147" t="s">
        <v>5579</v>
      </c>
      <c r="AJ449" s="186">
        <v>150000</v>
      </c>
      <c r="AK449" s="147">
        <v>5</v>
      </c>
      <c r="AL449" s="147">
        <f t="shared" si="105"/>
        <v>238</v>
      </c>
      <c r="AM449" s="147">
        <f t="shared" si="106"/>
        <v>35700000</v>
      </c>
      <c r="AN449" s="147"/>
      <c r="AR449" t="s">
        <v>25</v>
      </c>
    </row>
    <row r="450" spans="17:44">
      <c r="Q450" s="97" t="s">
        <v>5619</v>
      </c>
      <c r="R450" s="93">
        <v>110770524.97879399</v>
      </c>
      <c r="T450" s="19" t="s">
        <v>5752</v>
      </c>
      <c r="U450" s="19">
        <v>44079</v>
      </c>
      <c r="V450" s="115">
        <v>2155.0411519999998</v>
      </c>
      <c r="W450" s="115">
        <f t="shared" si="92"/>
        <v>94992058.939007998</v>
      </c>
      <c r="X450" s="263" t="s">
        <v>5114</v>
      </c>
      <c r="Y450" t="s">
        <v>25</v>
      </c>
      <c r="Z450" t="s">
        <v>25</v>
      </c>
      <c r="AH450" s="20">
        <v>164</v>
      </c>
      <c r="AI450" s="20" t="s">
        <v>5583</v>
      </c>
      <c r="AJ450" s="115">
        <v>320000</v>
      </c>
      <c r="AK450" s="20">
        <v>2</v>
      </c>
      <c r="AL450" s="20">
        <f t="shared" si="105"/>
        <v>233</v>
      </c>
      <c r="AM450" s="20">
        <f t="shared" si="106"/>
        <v>74560000</v>
      </c>
      <c r="AN450" s="20"/>
    </row>
    <row r="451" spans="17:44">
      <c r="Q451" s="97" t="s">
        <v>5622</v>
      </c>
      <c r="R451" s="93">
        <v>17900000</v>
      </c>
      <c r="T451" s="19" t="s">
        <v>5758</v>
      </c>
      <c r="U451" s="19">
        <v>131</v>
      </c>
      <c r="V451" s="115">
        <v>2099.4040150000001</v>
      </c>
      <c r="W451" s="115">
        <f t="shared" si="92"/>
        <v>275021.925965</v>
      </c>
      <c r="X451" s="263" t="s">
        <v>5114</v>
      </c>
      <c r="Y451" t="s">
        <v>25</v>
      </c>
      <c r="AF451" s="94" t="s">
        <v>25</v>
      </c>
      <c r="AH451" s="20">
        <v>165</v>
      </c>
      <c r="AI451" s="20" t="s">
        <v>5584</v>
      </c>
      <c r="AJ451" s="115">
        <v>200000</v>
      </c>
      <c r="AK451" s="20">
        <v>29</v>
      </c>
      <c r="AL451" s="20">
        <f t="shared" si="105"/>
        <v>231</v>
      </c>
      <c r="AM451" s="20">
        <f t="shared" si="106"/>
        <v>46200000</v>
      </c>
      <c r="AN451" s="20"/>
    </row>
    <row r="452" spans="17:44">
      <c r="Q452" s="97" t="s">
        <v>5634</v>
      </c>
      <c r="R452" s="93">
        <v>12114824.927374</v>
      </c>
      <c r="T452" s="19" t="s">
        <v>5765</v>
      </c>
      <c r="U452" s="19">
        <v>162</v>
      </c>
      <c r="V452" s="115">
        <v>2021.3081500000001</v>
      </c>
      <c r="W452" s="115">
        <f t="shared" si="92"/>
        <v>327451.9203</v>
      </c>
      <c r="X452" s="263" t="s">
        <v>5114</v>
      </c>
      <c r="Z452" t="s">
        <v>25</v>
      </c>
      <c r="AH452" s="20">
        <v>166</v>
      </c>
      <c r="AI452" s="20" t="s">
        <v>5619</v>
      </c>
      <c r="AJ452" s="115">
        <v>4200000</v>
      </c>
      <c r="AK452" s="20">
        <v>0</v>
      </c>
      <c r="AL452" s="20">
        <f t="shared" si="105"/>
        <v>202</v>
      </c>
      <c r="AM452" s="20">
        <f t="shared" si="106"/>
        <v>848400000</v>
      </c>
      <c r="AN452" s="20"/>
    </row>
    <row r="453" spans="17:44">
      <c r="Q453" s="97" t="s">
        <v>5637</v>
      </c>
      <c r="R453" s="93">
        <v>6684147.0064600008</v>
      </c>
      <c r="T453" s="19" t="s">
        <v>5777</v>
      </c>
      <c r="U453" s="19">
        <v>131</v>
      </c>
      <c r="V453" s="115">
        <v>1985.358328</v>
      </c>
      <c r="W453" s="115">
        <f t="shared" si="92"/>
        <v>260081.94096800001</v>
      </c>
      <c r="X453" s="263" t="s">
        <v>5114</v>
      </c>
      <c r="Z453" t="s">
        <v>25</v>
      </c>
      <c r="AH453" s="147">
        <v>167</v>
      </c>
      <c r="AI453" s="147" t="s">
        <v>5619</v>
      </c>
      <c r="AJ453" s="186">
        <v>3300000</v>
      </c>
      <c r="AK453" s="147">
        <v>11</v>
      </c>
      <c r="AL453" s="147">
        <f t="shared" si="105"/>
        <v>202</v>
      </c>
      <c r="AM453" s="147">
        <f t="shared" si="106"/>
        <v>666600000</v>
      </c>
      <c r="AN453" s="147"/>
    </row>
    <row r="454" spans="17:44">
      <c r="Q454" s="97" t="s">
        <v>5641</v>
      </c>
      <c r="R454" s="93">
        <v>1826535.2307560001</v>
      </c>
      <c r="T454" s="19" t="s">
        <v>5787</v>
      </c>
      <c r="U454" s="19">
        <v>1449</v>
      </c>
      <c r="V454" s="115">
        <v>2007.787806</v>
      </c>
      <c r="W454" s="115">
        <f t="shared" si="92"/>
        <v>2909284.5308940001</v>
      </c>
      <c r="X454" s="263" t="s">
        <v>5114</v>
      </c>
      <c r="Z454" t="s">
        <v>25</v>
      </c>
      <c r="AH454" s="147">
        <v>168</v>
      </c>
      <c r="AI454" s="147" t="s">
        <v>5643</v>
      </c>
      <c r="AJ454" s="186">
        <v>-1500000</v>
      </c>
      <c r="AK454" s="147">
        <v>42</v>
      </c>
      <c r="AL454" s="147">
        <f t="shared" si="105"/>
        <v>191</v>
      </c>
      <c r="AM454" s="147">
        <f t="shared" si="106"/>
        <v>-286500000</v>
      </c>
      <c r="AN454" s="147"/>
    </row>
    <row r="455" spans="17:44">
      <c r="Q455" s="97" t="s">
        <v>5643</v>
      </c>
      <c r="R455" s="93">
        <v>3577366.94</v>
      </c>
      <c r="T455" s="19" t="s">
        <v>5788</v>
      </c>
      <c r="U455" s="19">
        <v>19028</v>
      </c>
      <c r="V455" s="115">
        <v>1982.5102529999999</v>
      </c>
      <c r="W455" s="115">
        <f t="shared" si="92"/>
        <v>37723205.094084002</v>
      </c>
      <c r="X455" s="263" t="s">
        <v>5114</v>
      </c>
      <c r="Y455" t="s">
        <v>25</v>
      </c>
      <c r="Z455" t="s">
        <v>25</v>
      </c>
      <c r="AH455" s="20">
        <v>169</v>
      </c>
      <c r="AI455" s="20" t="s">
        <v>5690</v>
      </c>
      <c r="AJ455" s="115">
        <v>260000</v>
      </c>
      <c r="AK455" s="20">
        <v>22</v>
      </c>
      <c r="AL455" s="20">
        <f t="shared" si="105"/>
        <v>149</v>
      </c>
      <c r="AM455" s="20">
        <f t="shared" si="106"/>
        <v>38740000</v>
      </c>
      <c r="AN455" s="20"/>
    </row>
    <row r="456" spans="17:44">
      <c r="Q456" s="97" t="s">
        <v>5647</v>
      </c>
      <c r="R456" s="93">
        <v>21239029.173567999</v>
      </c>
      <c r="T456" s="19" t="s">
        <v>5789</v>
      </c>
      <c r="U456" s="19">
        <v>848</v>
      </c>
      <c r="V456" s="115">
        <v>1768.97966</v>
      </c>
      <c r="W456" s="115">
        <f t="shared" si="92"/>
        <v>1500094.75168</v>
      </c>
      <c r="X456" s="263" t="s">
        <v>5114</v>
      </c>
      <c r="AH456" s="20">
        <v>170</v>
      </c>
      <c r="AI456" s="20" t="s">
        <v>5719</v>
      </c>
      <c r="AJ456" s="115">
        <v>20000</v>
      </c>
      <c r="AK456" s="20">
        <v>0</v>
      </c>
      <c r="AL456" s="20">
        <f t="shared" si="105"/>
        <v>127</v>
      </c>
      <c r="AM456" s="20">
        <f t="shared" si="106"/>
        <v>2540000</v>
      </c>
      <c r="AN456" s="20"/>
    </row>
    <row r="457" spans="17:44">
      <c r="Q457" s="97" t="s">
        <v>5652</v>
      </c>
      <c r="R457" s="93">
        <v>242957252.40163299</v>
      </c>
      <c r="T457" s="19" t="s">
        <v>5790</v>
      </c>
      <c r="U457" s="19">
        <v>3824</v>
      </c>
      <c r="V457" s="115">
        <v>1890.8547169999999</v>
      </c>
      <c r="W457" s="115">
        <f t="shared" si="92"/>
        <v>7230628.4378079996</v>
      </c>
      <c r="X457" s="263" t="s">
        <v>5114</v>
      </c>
      <c r="AH457" s="192">
        <v>171</v>
      </c>
      <c r="AI457" s="192" t="s">
        <v>5719</v>
      </c>
      <c r="AJ457" s="193">
        <v>20000</v>
      </c>
      <c r="AK457" s="192">
        <v>7</v>
      </c>
      <c r="AL457" s="147">
        <f t="shared" ref="AL457:AL478" si="107">AK457+AL458</f>
        <v>127</v>
      </c>
      <c r="AM457" s="147">
        <f t="shared" ref="AM457:AM478" si="108">AJ457*AL457</f>
        <v>2540000</v>
      </c>
      <c r="AN457" s="192"/>
    </row>
    <row r="458" spans="17:44">
      <c r="Q458" s="97" t="s">
        <v>5653</v>
      </c>
      <c r="R458" s="93">
        <v>7357181.2750800001</v>
      </c>
      <c r="T458" s="19" t="s">
        <v>5792</v>
      </c>
      <c r="U458" s="19">
        <v>14010</v>
      </c>
      <c r="V458" s="115">
        <v>2124.7244390000001</v>
      </c>
      <c r="W458" s="115">
        <f t="shared" si="92"/>
        <v>29767389.390390001</v>
      </c>
      <c r="X458" s="263" t="s">
        <v>5114</v>
      </c>
      <c r="AA458" t="s">
        <v>25</v>
      </c>
      <c r="AH458" s="147">
        <v>172</v>
      </c>
      <c r="AI458" s="147" t="s">
        <v>5729</v>
      </c>
      <c r="AJ458" s="186">
        <v>70000</v>
      </c>
      <c r="AK458" s="147">
        <v>0</v>
      </c>
      <c r="AL458" s="147">
        <f t="shared" si="107"/>
        <v>120</v>
      </c>
      <c r="AM458" s="147">
        <f t="shared" si="108"/>
        <v>8400000</v>
      </c>
      <c r="AN458" s="147"/>
    </row>
    <row r="459" spans="17:44">
      <c r="Q459" s="97" t="s">
        <v>5657</v>
      </c>
      <c r="R459" s="93">
        <v>14951411.942400001</v>
      </c>
      <c r="T459" s="19" t="s">
        <v>5793</v>
      </c>
      <c r="U459" s="19">
        <v>73</v>
      </c>
      <c r="V459" s="115">
        <v>2076.1678900000002</v>
      </c>
      <c r="W459" s="115">
        <f t="shared" si="92"/>
        <v>151560.25597</v>
      </c>
      <c r="X459" s="263" t="s">
        <v>5114</v>
      </c>
      <c r="AH459" s="20">
        <v>173</v>
      </c>
      <c r="AI459" s="20" t="s">
        <v>5729</v>
      </c>
      <c r="AJ459" s="115">
        <v>70000</v>
      </c>
      <c r="AK459" s="20">
        <v>1</v>
      </c>
      <c r="AL459" s="20">
        <f t="shared" si="107"/>
        <v>120</v>
      </c>
      <c r="AM459" s="20">
        <f t="shared" si="108"/>
        <v>8400000</v>
      </c>
      <c r="AN459" s="20"/>
    </row>
    <row r="460" spans="17:44">
      <c r="Q460" s="97" t="s">
        <v>5659</v>
      </c>
      <c r="R460" s="93">
        <v>47928209.377011999</v>
      </c>
      <c r="T460" s="19" t="s">
        <v>5795</v>
      </c>
      <c r="U460" s="19">
        <v>236</v>
      </c>
      <c r="V460" s="115">
        <v>2039.4867830000001</v>
      </c>
      <c r="W460" s="115">
        <f t="shared" si="92"/>
        <v>481318.88078800001</v>
      </c>
      <c r="X460" s="263" t="s">
        <v>5114</v>
      </c>
      <c r="AH460" s="20">
        <v>174</v>
      </c>
      <c r="AI460" s="20" t="s">
        <v>5736</v>
      </c>
      <c r="AJ460" s="115">
        <v>330000</v>
      </c>
      <c r="AK460" s="20">
        <v>0</v>
      </c>
      <c r="AL460" s="20">
        <f t="shared" si="107"/>
        <v>119</v>
      </c>
      <c r="AM460" s="20">
        <f t="shared" si="108"/>
        <v>39270000</v>
      </c>
      <c r="AN460" s="20"/>
    </row>
    <row r="461" spans="17:44">
      <c r="Q461" s="97" t="s">
        <v>5661</v>
      </c>
      <c r="R461" s="93">
        <v>2281595.69937</v>
      </c>
      <c r="T461" s="19" t="s">
        <v>5798</v>
      </c>
      <c r="U461" s="19">
        <v>75</v>
      </c>
      <c r="V461" s="115">
        <v>1950.3675760000001</v>
      </c>
      <c r="W461" s="115">
        <f t="shared" si="92"/>
        <v>146277.56820000001</v>
      </c>
      <c r="X461" s="263" t="s">
        <v>5114</v>
      </c>
      <c r="AH461" s="147">
        <v>175</v>
      </c>
      <c r="AI461" s="147" t="s">
        <v>5736</v>
      </c>
      <c r="AJ461" s="186">
        <v>330000</v>
      </c>
      <c r="AK461" s="147">
        <v>10</v>
      </c>
      <c r="AL461" s="147">
        <f t="shared" ref="AL461:AL465" si="109">AK461+AL462</f>
        <v>119</v>
      </c>
      <c r="AM461" s="147">
        <f t="shared" ref="AM461:AM466" si="110">AJ461*AL461</f>
        <v>39270000</v>
      </c>
      <c r="AN461" s="147"/>
    </row>
    <row r="462" spans="17:44">
      <c r="Q462" s="97" t="s">
        <v>5662</v>
      </c>
      <c r="R462" s="93">
        <v>2964916.035069</v>
      </c>
      <c r="T462" s="19" t="s">
        <v>5811</v>
      </c>
      <c r="U462" s="19">
        <v>232</v>
      </c>
      <c r="V462" s="115">
        <v>1830.5750069999999</v>
      </c>
      <c r="W462" s="115">
        <f t="shared" si="92"/>
        <v>424693.40162399999</v>
      </c>
      <c r="X462" s="263" t="s">
        <v>5114</v>
      </c>
      <c r="Y462" t="s">
        <v>25</v>
      </c>
      <c r="AH462" s="147">
        <v>176</v>
      </c>
      <c r="AI462" s="147" t="s">
        <v>5748</v>
      </c>
      <c r="AJ462" s="186">
        <v>90000000</v>
      </c>
      <c r="AK462" s="147">
        <v>16</v>
      </c>
      <c r="AL462" s="147">
        <f t="shared" si="109"/>
        <v>109</v>
      </c>
      <c r="AM462" s="147">
        <f t="shared" si="110"/>
        <v>9810000000</v>
      </c>
      <c r="AN462" s="147"/>
    </row>
    <row r="463" spans="17:44">
      <c r="Q463" s="97" t="s">
        <v>5664</v>
      </c>
      <c r="R463" s="93">
        <v>6460549.4269619994</v>
      </c>
      <c r="T463" s="19" t="s">
        <v>5814</v>
      </c>
      <c r="U463" s="19">
        <v>308</v>
      </c>
      <c r="V463" s="115">
        <v>1812.728578</v>
      </c>
      <c r="W463" s="115">
        <f t="shared" si="92"/>
        <v>558320.40202399995</v>
      </c>
      <c r="X463" s="263" t="s">
        <v>5114</v>
      </c>
      <c r="Y463" t="s">
        <v>25</v>
      </c>
      <c r="AH463" s="147">
        <v>177</v>
      </c>
      <c r="AI463" s="147" t="s">
        <v>5775</v>
      </c>
      <c r="AJ463" s="186">
        <v>-15000000</v>
      </c>
      <c r="AK463" s="147">
        <v>65</v>
      </c>
      <c r="AL463" s="147">
        <f t="shared" si="109"/>
        <v>93</v>
      </c>
      <c r="AM463" s="147">
        <f t="shared" si="110"/>
        <v>-1395000000</v>
      </c>
      <c r="AN463" s="147" t="s">
        <v>5776</v>
      </c>
    </row>
    <row r="464" spans="17:44">
      <c r="Q464" s="97" t="s">
        <v>5667</v>
      </c>
      <c r="R464" s="93">
        <v>5212319.8968359996</v>
      </c>
      <c r="T464" s="19" t="s">
        <v>5816</v>
      </c>
      <c r="U464" s="19">
        <v>106</v>
      </c>
      <c r="V464" s="115">
        <v>1958.8888869</v>
      </c>
      <c r="W464" s="115">
        <f t="shared" si="92"/>
        <v>207642.22201140001</v>
      </c>
      <c r="X464" s="263" t="s">
        <v>5114</v>
      </c>
      <c r="AA464" t="s">
        <v>25</v>
      </c>
      <c r="AH464" s="147">
        <v>178</v>
      </c>
      <c r="AI464" s="147" t="s">
        <v>5840</v>
      </c>
      <c r="AJ464" s="186">
        <v>33833075</v>
      </c>
      <c r="AK464" s="147">
        <v>0</v>
      </c>
      <c r="AL464" s="147">
        <f t="shared" si="109"/>
        <v>28</v>
      </c>
      <c r="AM464" s="147">
        <f t="shared" si="110"/>
        <v>947326100</v>
      </c>
      <c r="AN464" s="147" t="s">
        <v>5844</v>
      </c>
      <c r="AR464" t="s">
        <v>25</v>
      </c>
    </row>
    <row r="465" spans="17:45">
      <c r="Q465" s="97" t="s">
        <v>5669</v>
      </c>
      <c r="R465" s="93">
        <v>4524496.4792809999</v>
      </c>
      <c r="T465" s="19" t="s">
        <v>5840</v>
      </c>
      <c r="U465" s="19">
        <v>17050</v>
      </c>
      <c r="V465" s="115">
        <v>1984.311475</v>
      </c>
      <c r="W465" s="115">
        <f t="shared" si="92"/>
        <v>33832510.64875</v>
      </c>
      <c r="X465" s="263" t="s">
        <v>5842</v>
      </c>
      <c r="Y465" t="s">
        <v>25</v>
      </c>
      <c r="AH465" s="20">
        <v>197</v>
      </c>
      <c r="AI465" s="20" t="s">
        <v>5840</v>
      </c>
      <c r="AJ465" s="115">
        <v>20033075</v>
      </c>
      <c r="AK465" s="20">
        <v>28</v>
      </c>
      <c r="AL465" s="20">
        <f t="shared" si="109"/>
        <v>28</v>
      </c>
      <c r="AM465" s="20">
        <f t="shared" si="110"/>
        <v>560926100</v>
      </c>
      <c r="AN465" s="20" t="s">
        <v>5844</v>
      </c>
      <c r="AR465" t="s">
        <v>25</v>
      </c>
    </row>
    <row r="466" spans="17:45">
      <c r="Q466" s="97" t="s">
        <v>5671</v>
      </c>
      <c r="R466" s="93">
        <v>22866040.240959998</v>
      </c>
      <c r="T466" s="19" t="s">
        <v>5840</v>
      </c>
      <c r="U466" s="19">
        <v>17050</v>
      </c>
      <c r="V466" s="115">
        <v>1984.311475</v>
      </c>
      <c r="W466" s="115">
        <f t="shared" si="92"/>
        <v>33832510.64875</v>
      </c>
      <c r="X466" s="263" t="s">
        <v>5843</v>
      </c>
      <c r="Y466" t="s">
        <v>25</v>
      </c>
      <c r="AH466" s="147">
        <v>198</v>
      </c>
      <c r="AI466" s="147" t="s">
        <v>5871</v>
      </c>
      <c r="AJ466" s="186">
        <v>-22520813.151772</v>
      </c>
      <c r="AK466" s="147">
        <v>0</v>
      </c>
      <c r="AL466" s="147">
        <f>AK466+AL477</f>
        <v>0</v>
      </c>
      <c r="AM466" s="147">
        <f t="shared" si="110"/>
        <v>0</v>
      </c>
      <c r="AN466" s="147" t="s">
        <v>5881</v>
      </c>
    </row>
    <row r="467" spans="17:45">
      <c r="Q467" s="97" t="s">
        <v>5673</v>
      </c>
      <c r="R467" s="93">
        <v>15359304.269892</v>
      </c>
      <c r="T467" s="19" t="s">
        <v>5845</v>
      </c>
      <c r="U467" s="19">
        <v>9659</v>
      </c>
      <c r="V467" s="115">
        <v>2073.8685089999999</v>
      </c>
      <c r="W467" s="115">
        <f t="shared" si="92"/>
        <v>20031495.928431001</v>
      </c>
      <c r="X467" s="263" t="s">
        <v>5846</v>
      </c>
      <c r="Y467" t="s">
        <v>25</v>
      </c>
      <c r="AH467" s="20">
        <v>199</v>
      </c>
      <c r="AI467" s="20" t="s">
        <v>5871</v>
      </c>
      <c r="AJ467" s="115">
        <v>-204353015</v>
      </c>
      <c r="AK467" s="20">
        <v>0</v>
      </c>
      <c r="AL467" s="20">
        <f t="shared" ref="AL467:AL477" si="111">AK467+AL468</f>
        <v>41</v>
      </c>
      <c r="AM467" s="20">
        <f t="shared" ref="AM467:AM477" si="112">AJ467*AL467</f>
        <v>-8378473615</v>
      </c>
      <c r="AN467" s="20" t="s">
        <v>5882</v>
      </c>
      <c r="AS467" t="s">
        <v>25</v>
      </c>
    </row>
    <row r="468" spans="17:45">
      <c r="Q468" s="97" t="s">
        <v>5674</v>
      </c>
      <c r="R468" s="93">
        <v>2868508.1846330003</v>
      </c>
      <c r="T468" s="19" t="s">
        <v>5855</v>
      </c>
      <c r="U468" s="19">
        <v>323</v>
      </c>
      <c r="V468" s="115">
        <v>1975.162028</v>
      </c>
      <c r="W468" s="115">
        <f t="shared" si="92"/>
        <v>637977.33504399995</v>
      </c>
      <c r="X468" s="263" t="s">
        <v>5114</v>
      </c>
      <c r="AH468" s="20">
        <v>200</v>
      </c>
      <c r="AI468" s="20" t="s">
        <v>5871</v>
      </c>
      <c r="AJ468" s="115">
        <v>50000000</v>
      </c>
      <c r="AK468" s="20">
        <v>1</v>
      </c>
      <c r="AL468" s="20">
        <f t="shared" si="111"/>
        <v>41</v>
      </c>
      <c r="AM468" s="20">
        <f t="shared" si="112"/>
        <v>2050000000</v>
      </c>
      <c r="AN468" s="20" t="s">
        <v>5883</v>
      </c>
    </row>
    <row r="469" spans="17:45">
      <c r="Q469" s="97" t="s">
        <v>5675</v>
      </c>
      <c r="R469" s="93">
        <v>17450393.011856001</v>
      </c>
      <c r="T469" s="19" t="s">
        <v>5856</v>
      </c>
      <c r="U469" s="19">
        <v>238</v>
      </c>
      <c r="V469" s="115">
        <v>1960.303598</v>
      </c>
      <c r="W469" s="115">
        <f t="shared" si="92"/>
        <v>466552.25632400002</v>
      </c>
      <c r="X469" s="263" t="s">
        <v>5114</v>
      </c>
      <c r="Z469" t="s">
        <v>25</v>
      </c>
      <c r="AH469" s="20">
        <v>201</v>
      </c>
      <c r="AI469" s="20" t="s">
        <v>5889</v>
      </c>
      <c r="AJ469" s="115">
        <v>50000000</v>
      </c>
      <c r="AK469" s="20">
        <v>8</v>
      </c>
      <c r="AL469" s="20">
        <f t="shared" si="111"/>
        <v>40</v>
      </c>
      <c r="AM469" s="20">
        <f t="shared" si="112"/>
        <v>2000000000</v>
      </c>
      <c r="AN469" s="20" t="s">
        <v>5883</v>
      </c>
    </row>
    <row r="470" spans="17:45">
      <c r="Q470" s="97" t="s">
        <v>5676</v>
      </c>
      <c r="R470" s="93">
        <v>31388943.254850004</v>
      </c>
      <c r="T470" s="19" t="s">
        <v>5857</v>
      </c>
      <c r="U470" s="19">
        <v>75</v>
      </c>
      <c r="V470" s="115">
        <v>1990.893174</v>
      </c>
      <c r="W470" s="115">
        <f t="shared" si="92"/>
        <v>149316.98805000001</v>
      </c>
      <c r="X470" s="263" t="s">
        <v>5858</v>
      </c>
      <c r="Z470" t="s">
        <v>25</v>
      </c>
      <c r="AH470" s="20">
        <v>202</v>
      </c>
      <c r="AI470" s="20" t="s">
        <v>6441</v>
      </c>
      <c r="AJ470" s="115">
        <v>30000000</v>
      </c>
      <c r="AK470" s="20">
        <v>2</v>
      </c>
      <c r="AL470" s="20">
        <f t="shared" si="111"/>
        <v>32</v>
      </c>
      <c r="AM470" s="20">
        <f t="shared" si="112"/>
        <v>960000000</v>
      </c>
      <c r="AN470" s="20" t="s">
        <v>6443</v>
      </c>
    </row>
    <row r="471" spans="17:45">
      <c r="Q471" s="97" t="s">
        <v>5678</v>
      </c>
      <c r="R471" s="93">
        <v>30912095.373174001</v>
      </c>
      <c r="T471" s="19" t="s">
        <v>5857</v>
      </c>
      <c r="U471" s="19">
        <v>95</v>
      </c>
      <c r="V471" s="115">
        <v>1990.893174</v>
      </c>
      <c r="W471" s="115">
        <f t="shared" si="92"/>
        <v>189134.85153000001</v>
      </c>
      <c r="X471" s="263" t="s">
        <v>5114</v>
      </c>
      <c r="Z471" t="s">
        <v>25</v>
      </c>
      <c r="AH471" s="147">
        <v>203</v>
      </c>
      <c r="AI471" s="147" t="s">
        <v>6449</v>
      </c>
      <c r="AJ471" s="186">
        <v>20000000</v>
      </c>
      <c r="AK471" s="147">
        <v>29</v>
      </c>
      <c r="AL471" s="147">
        <f t="shared" si="111"/>
        <v>30</v>
      </c>
      <c r="AM471" s="147">
        <f t="shared" si="112"/>
        <v>600000000</v>
      </c>
      <c r="AN471" s="147" t="s">
        <v>6450</v>
      </c>
    </row>
    <row r="472" spans="17:45">
      <c r="Q472" s="97" t="s">
        <v>5682</v>
      </c>
      <c r="R472" s="93">
        <v>19602926.115093999</v>
      </c>
      <c r="T472" s="19" t="s">
        <v>5862</v>
      </c>
      <c r="U472" s="19">
        <v>284</v>
      </c>
      <c r="V472" s="115">
        <v>1989.045169</v>
      </c>
      <c r="W472" s="115">
        <f t="shared" si="92"/>
        <v>564888.82799599995</v>
      </c>
      <c r="X472" s="263" t="s">
        <v>5114</v>
      </c>
      <c r="Z472" t="s">
        <v>25</v>
      </c>
      <c r="AH472" s="147">
        <v>204</v>
      </c>
      <c r="AI472" s="147" t="s">
        <v>6497</v>
      </c>
      <c r="AJ472" s="186">
        <v>-20000000</v>
      </c>
      <c r="AK472" s="147">
        <v>0</v>
      </c>
      <c r="AL472" s="147">
        <f t="shared" si="111"/>
        <v>1</v>
      </c>
      <c r="AM472" s="147">
        <f t="shared" si="112"/>
        <v>-20000000</v>
      </c>
      <c r="AN472" s="147" t="s">
        <v>6498</v>
      </c>
    </row>
    <row r="473" spans="17:45" ht="30">
      <c r="Q473" s="97" t="s">
        <v>5684</v>
      </c>
      <c r="R473" s="93">
        <v>34458590.308710001</v>
      </c>
      <c r="T473" s="187" t="s">
        <v>5871</v>
      </c>
      <c r="U473" s="187">
        <v>11034</v>
      </c>
      <c r="V473" s="186">
        <v>1960.6845390000001</v>
      </c>
      <c r="W473" s="186">
        <f t="shared" si="92"/>
        <v>21634193.203326002</v>
      </c>
      <c r="X473" s="262" t="s">
        <v>5877</v>
      </c>
      <c r="Z473" t="s">
        <v>25</v>
      </c>
      <c r="AH473" s="147">
        <v>205</v>
      </c>
      <c r="AI473" s="147" t="s">
        <v>6497</v>
      </c>
      <c r="AJ473" s="186">
        <v>2000000</v>
      </c>
      <c r="AK473" s="147">
        <v>1</v>
      </c>
      <c r="AL473" s="147">
        <f t="shared" si="111"/>
        <v>1</v>
      </c>
      <c r="AM473" s="147">
        <f t="shared" si="112"/>
        <v>2000000</v>
      </c>
      <c r="AN473" s="147" t="s">
        <v>6499</v>
      </c>
    </row>
    <row r="474" spans="17:45" ht="30">
      <c r="Q474" s="97" t="s">
        <v>5686</v>
      </c>
      <c r="R474" s="93">
        <v>21697868.203256</v>
      </c>
      <c r="T474" s="19" t="s">
        <v>5871</v>
      </c>
      <c r="U474" s="19">
        <v>4469</v>
      </c>
      <c r="V474" s="115">
        <v>1960.6845390000001</v>
      </c>
      <c r="W474" s="115">
        <f t="shared" si="92"/>
        <v>8762299.2047910001</v>
      </c>
      <c r="X474" s="263" t="s">
        <v>5878</v>
      </c>
      <c r="Z474" t="s">
        <v>25</v>
      </c>
      <c r="AH474" s="20"/>
      <c r="AI474" s="20"/>
      <c r="AJ474" s="115"/>
      <c r="AK474" s="20"/>
      <c r="AL474" s="20">
        <f t="shared" si="111"/>
        <v>0</v>
      </c>
      <c r="AM474" s="20">
        <f t="shared" si="112"/>
        <v>0</v>
      </c>
      <c r="AN474" s="20"/>
    </row>
    <row r="475" spans="17:45">
      <c r="Q475" s="97" t="s">
        <v>5687</v>
      </c>
      <c r="R475" s="93">
        <v>25340079.252110001</v>
      </c>
      <c r="T475" s="19" t="s">
        <v>5871</v>
      </c>
      <c r="U475" s="19">
        <v>-174834</v>
      </c>
      <c r="V475" s="115">
        <v>1955.271154</v>
      </c>
      <c r="W475" s="115">
        <f t="shared" si="92"/>
        <v>-341847876.93843603</v>
      </c>
      <c r="X475" s="263" t="s">
        <v>5879</v>
      </c>
      <c r="AH475" s="20"/>
      <c r="AI475" s="20"/>
      <c r="AJ475" s="115"/>
      <c r="AK475" s="20"/>
      <c r="AL475" s="20">
        <f t="shared" si="111"/>
        <v>0</v>
      </c>
      <c r="AM475" s="20">
        <f t="shared" si="112"/>
        <v>0</v>
      </c>
      <c r="AN475" s="20"/>
    </row>
    <row r="476" spans="17:45">
      <c r="Q476" s="97" t="s">
        <v>5690</v>
      </c>
      <c r="R476" s="93">
        <v>14780983.183526</v>
      </c>
      <c r="T476" s="19" t="s">
        <v>5871</v>
      </c>
      <c r="U476" s="19">
        <v>-78942</v>
      </c>
      <c r="V476" s="115">
        <v>1955.271154</v>
      </c>
      <c r="W476" s="115">
        <f t="shared" si="92"/>
        <v>-154353015.43906799</v>
      </c>
      <c r="X476" s="263" t="s">
        <v>5880</v>
      </c>
      <c r="Z476" t="s">
        <v>25</v>
      </c>
      <c r="AA476" t="s">
        <v>25</v>
      </c>
      <c r="AH476" s="20"/>
      <c r="AI476" s="20"/>
      <c r="AJ476" s="115"/>
      <c r="AK476" s="20"/>
      <c r="AL476" s="20">
        <f t="shared" si="111"/>
        <v>0</v>
      </c>
      <c r="AM476" s="20">
        <f t="shared" si="112"/>
        <v>0</v>
      </c>
      <c r="AN476" s="20"/>
    </row>
    <row r="477" spans="17:45">
      <c r="Q477" s="97" t="s">
        <v>5690</v>
      </c>
      <c r="R477" s="93">
        <v>17804396.448481999</v>
      </c>
      <c r="T477" s="187" t="s">
        <v>5871</v>
      </c>
      <c r="U477" s="187">
        <v>-11518</v>
      </c>
      <c r="V477" s="186">
        <v>1955.271154</v>
      </c>
      <c r="W477" s="186">
        <f t="shared" si="92"/>
        <v>-22520813.151772</v>
      </c>
      <c r="X477" s="262" t="s">
        <v>5881</v>
      </c>
      <c r="AH477" s="97"/>
      <c r="AI477" s="97"/>
      <c r="AJ477" s="115"/>
      <c r="AK477" s="97"/>
      <c r="AL477" s="20">
        <f t="shared" si="111"/>
        <v>0</v>
      </c>
      <c r="AM477" s="20">
        <f t="shared" si="112"/>
        <v>0</v>
      </c>
      <c r="AN477" s="20"/>
    </row>
    <row r="478" spans="17:45">
      <c r="Q478" s="97" t="s">
        <v>5694</v>
      </c>
      <c r="R478" s="93">
        <v>260260000</v>
      </c>
      <c r="T478" s="19" t="s">
        <v>5893</v>
      </c>
      <c r="U478" s="19">
        <v>8622</v>
      </c>
      <c r="V478" s="115">
        <v>1930.4022150000001</v>
      </c>
      <c r="W478" s="115">
        <f t="shared" si="92"/>
        <v>16643927.89773</v>
      </c>
      <c r="X478" s="263" t="s">
        <v>744</v>
      </c>
      <c r="Z478" t="s">
        <v>25</v>
      </c>
      <c r="AH478" s="97"/>
      <c r="AI478" s="97"/>
      <c r="AJ478" s="115"/>
      <c r="AK478" s="97"/>
      <c r="AL478" s="20">
        <f t="shared" si="107"/>
        <v>0</v>
      </c>
      <c r="AM478" s="20">
        <f t="shared" si="108"/>
        <v>0</v>
      </c>
      <c r="AN478" s="97"/>
    </row>
    <row r="479" spans="17:45">
      <c r="Q479" s="97" t="s">
        <v>5695</v>
      </c>
      <c r="R479" s="93">
        <v>11538335.631417999</v>
      </c>
      <c r="T479" s="19" t="s">
        <v>5894</v>
      </c>
      <c r="U479" s="19">
        <v>17384</v>
      </c>
      <c r="V479" s="115">
        <v>1918.745255</v>
      </c>
      <c r="W479" s="115">
        <f t="shared" si="92"/>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5703</v>
      </c>
      <c r="R480" s="93">
        <v>12429517.767776001</v>
      </c>
      <c r="T480" s="19" t="s">
        <v>5906</v>
      </c>
      <c r="U480" s="19">
        <v>133</v>
      </c>
      <c r="V480" s="115">
        <v>1954.8389770000001</v>
      </c>
      <c r="W480" s="115">
        <f t="shared" si="92"/>
        <v>259993.58394100002</v>
      </c>
      <c r="X480" s="263" t="s">
        <v>5114</v>
      </c>
      <c r="AJ480" t="s">
        <v>4043</v>
      </c>
      <c r="AM480" t="s">
        <v>284</v>
      </c>
      <c r="AN480" t="s">
        <v>928</v>
      </c>
    </row>
    <row r="481" spans="17:40">
      <c r="Q481" s="97" t="s">
        <v>5705</v>
      </c>
      <c r="R481" s="93">
        <v>5031176.5087869996</v>
      </c>
      <c r="T481" s="19" t="s">
        <v>5910</v>
      </c>
      <c r="U481" s="19">
        <v>140</v>
      </c>
      <c r="V481" s="115">
        <v>1928.2522289999999</v>
      </c>
      <c r="W481" s="115">
        <f t="shared" si="92"/>
        <v>269955.31205999997</v>
      </c>
      <c r="X481" s="263" t="s">
        <v>5114</v>
      </c>
      <c r="Y481" t="s">
        <v>25</v>
      </c>
      <c r="AA481" t="s">
        <v>25</v>
      </c>
    </row>
    <row r="482" spans="17:40">
      <c r="Q482" s="97" t="s">
        <v>5709</v>
      </c>
      <c r="R482" s="93">
        <v>6822803.9080700008</v>
      </c>
      <c r="T482" s="19" t="s">
        <v>6444</v>
      </c>
      <c r="U482" s="19">
        <v>15839</v>
      </c>
      <c r="V482" s="115">
        <v>1893.9957079999999</v>
      </c>
      <c r="W482" s="115">
        <f t="shared" si="92"/>
        <v>29998998.019012</v>
      </c>
      <c r="X482" s="263" t="s">
        <v>6443</v>
      </c>
      <c r="Z482" t="s">
        <v>25</v>
      </c>
      <c r="AI482" t="s">
        <v>4045</v>
      </c>
      <c r="AJ482" s="112">
        <f>AJ479+AN479</f>
        <v>323780714.39298034</v>
      </c>
      <c r="AM482" t="s">
        <v>25</v>
      </c>
    </row>
    <row r="483" spans="17:40">
      <c r="Q483" s="97" t="s">
        <v>5718</v>
      </c>
      <c r="R483" s="93">
        <v>330889.73324399994</v>
      </c>
      <c r="T483" s="19" t="s">
        <v>6449</v>
      </c>
      <c r="U483" s="19">
        <v>26601</v>
      </c>
      <c r="V483" s="115">
        <v>1880.082026</v>
      </c>
      <c r="W483" s="115">
        <f t="shared" si="92"/>
        <v>50012061.973626003</v>
      </c>
      <c r="X483" s="263" t="s">
        <v>5354</v>
      </c>
      <c r="AI483" t="s">
        <v>4048</v>
      </c>
      <c r="AJ483" s="112">
        <f>SUM(N20:N31)</f>
        <v>3510945140</v>
      </c>
    </row>
    <row r="484" spans="17:40">
      <c r="Q484" s="97" t="s">
        <v>5719</v>
      </c>
      <c r="R484" s="93">
        <v>6610318.1610199995</v>
      </c>
      <c r="T484" s="187" t="s">
        <v>6449</v>
      </c>
      <c r="U484" s="187">
        <v>10637</v>
      </c>
      <c r="V484" s="186">
        <v>1880.082026</v>
      </c>
      <c r="W484" s="186">
        <f t="shared" si="92"/>
        <v>19998432.510561999</v>
      </c>
      <c r="X484" s="262" t="s">
        <v>6450</v>
      </c>
      <c r="Y484" t="s">
        <v>25</v>
      </c>
      <c r="AI484" t="s">
        <v>4118</v>
      </c>
      <c r="AJ484" s="112">
        <f>AJ483-AJ479</f>
        <v>3309152463.151772</v>
      </c>
    </row>
    <row r="485" spans="17:40">
      <c r="Q485" s="97" t="s">
        <v>5721</v>
      </c>
      <c r="R485" s="93">
        <v>710713.17725199996</v>
      </c>
      <c r="T485" s="19" t="s">
        <v>6458</v>
      </c>
      <c r="U485" s="19">
        <v>306</v>
      </c>
      <c r="V485" s="115">
        <v>1831.8117119999999</v>
      </c>
      <c r="W485" s="115">
        <f t="shared" si="92"/>
        <v>560534.38387200003</v>
      </c>
      <c r="X485" s="263" t="s">
        <v>5114</v>
      </c>
      <c r="Y485" t="s">
        <v>25</v>
      </c>
      <c r="AI485" t="s">
        <v>928</v>
      </c>
      <c r="AJ485" s="112">
        <f>AN479</f>
        <v>121988037.54475237</v>
      </c>
    </row>
    <row r="486" spans="17:40">
      <c r="Q486" s="97" t="s">
        <v>5724</v>
      </c>
      <c r="R486" s="93">
        <v>81025</v>
      </c>
      <c r="T486" s="19" t="s">
        <v>6467</v>
      </c>
      <c r="U486" s="19">
        <v>325</v>
      </c>
      <c r="V486" s="115">
        <v>1789.1845169999999</v>
      </c>
      <c r="W486" s="115">
        <f t="shared" si="92"/>
        <v>581484.96802499995</v>
      </c>
      <c r="X486" s="263" t="s">
        <v>5114</v>
      </c>
      <c r="Z486" t="s">
        <v>25</v>
      </c>
      <c r="AI486" t="s">
        <v>4049</v>
      </c>
      <c r="AJ486" s="112">
        <f>AJ484-AJ485</f>
        <v>3187164425.6070194</v>
      </c>
      <c r="AM486" t="s">
        <v>25</v>
      </c>
      <c r="AN486" t="s">
        <v>25</v>
      </c>
    </row>
    <row r="487" spans="17:40">
      <c r="Q487" s="97" t="s">
        <v>5725</v>
      </c>
      <c r="R487" s="93">
        <v>219696.613128</v>
      </c>
      <c r="T487" s="19" t="s">
        <v>6470</v>
      </c>
      <c r="U487" s="19">
        <v>1154</v>
      </c>
      <c r="V487" s="115">
        <v>1851.788857</v>
      </c>
      <c r="W487" s="115">
        <f t="shared" si="92"/>
        <v>2136964.3409779998</v>
      </c>
      <c r="X487" s="263" t="s">
        <v>5114</v>
      </c>
      <c r="Z487" t="s">
        <v>25</v>
      </c>
      <c r="AA487" t="s">
        <v>25</v>
      </c>
      <c r="AL487" t="s">
        <v>25</v>
      </c>
      <c r="AM487" t="s">
        <v>25</v>
      </c>
      <c r="AN487" t="s">
        <v>25</v>
      </c>
    </row>
    <row r="488" spans="17:40" ht="30">
      <c r="Q488" s="97" t="s">
        <v>5727</v>
      </c>
      <c r="R488" s="93">
        <v>6035472.4070199998</v>
      </c>
      <c r="T488" s="19" t="s">
        <v>6470</v>
      </c>
      <c r="U488" s="19">
        <v>3240</v>
      </c>
      <c r="V488" s="115">
        <v>1851.788857</v>
      </c>
      <c r="W488" s="115">
        <f t="shared" si="92"/>
        <v>5999795.8966800002</v>
      </c>
      <c r="X488" s="263" t="s">
        <v>6472</v>
      </c>
    </row>
    <row r="489" spans="17:40">
      <c r="Q489" s="97" t="s">
        <v>5729</v>
      </c>
      <c r="R489" s="93">
        <v>984486.34963200008</v>
      </c>
      <c r="T489" s="19" t="s">
        <v>6470</v>
      </c>
      <c r="U489" s="19">
        <v>-3240</v>
      </c>
      <c r="V489" s="115">
        <v>1851.788857</v>
      </c>
      <c r="W489" s="115">
        <f t="shared" si="92"/>
        <v>-5999795.8966800002</v>
      </c>
      <c r="X489" s="263" t="s">
        <v>6473</v>
      </c>
      <c r="Z489" t="s">
        <v>25</v>
      </c>
      <c r="AA489" t="s">
        <v>25</v>
      </c>
    </row>
    <row r="490" spans="17:40">
      <c r="Q490" s="97" t="s">
        <v>5741</v>
      </c>
      <c r="R490" s="93">
        <v>2143469.938015</v>
      </c>
      <c r="T490" s="19" t="s">
        <v>6474</v>
      </c>
      <c r="U490" s="19">
        <v>330</v>
      </c>
      <c r="V490" s="115">
        <v>1799.34311</v>
      </c>
      <c r="W490" s="115">
        <f t="shared" si="92"/>
        <v>593783.22629999998</v>
      </c>
      <c r="X490" s="263" t="s">
        <v>5114</v>
      </c>
      <c r="AN490" t="s">
        <v>25</v>
      </c>
    </row>
    <row r="491" spans="17:40">
      <c r="Q491" s="97" t="s">
        <v>5743</v>
      </c>
      <c r="R491" s="93">
        <v>3085460.5177150001</v>
      </c>
      <c r="T491" s="19" t="s">
        <v>6478</v>
      </c>
      <c r="U491" s="19">
        <v>266</v>
      </c>
      <c r="V491" s="115">
        <v>1764.9246700000001</v>
      </c>
      <c r="W491" s="115">
        <f t="shared" si="92"/>
        <v>469469.96222000004</v>
      </c>
      <c r="X491" s="263" t="s">
        <v>5114</v>
      </c>
      <c r="Y491" t="s">
        <v>25</v>
      </c>
      <c r="AA491" t="s">
        <v>25</v>
      </c>
      <c r="AN491" t="s">
        <v>25</v>
      </c>
    </row>
    <row r="492" spans="17:40">
      <c r="Q492" s="97" t="s">
        <v>5745</v>
      </c>
      <c r="R492" s="93">
        <v>8261456.790906</v>
      </c>
      <c r="T492" s="187" t="s">
        <v>6497</v>
      </c>
      <c r="U492" s="187">
        <v>-10637</v>
      </c>
      <c r="V492" s="186">
        <v>1739.5916549999999</v>
      </c>
      <c r="W492" s="186">
        <f t="shared" si="92"/>
        <v>-18504036.434234999</v>
      </c>
      <c r="X492" s="262" t="s">
        <v>6500</v>
      </c>
      <c r="Y492" t="s">
        <v>25</v>
      </c>
      <c r="AA492" t="s">
        <v>25</v>
      </c>
      <c r="AB492" t="s">
        <v>25</v>
      </c>
    </row>
    <row r="493" spans="17:40">
      <c r="Q493" s="97" t="s">
        <v>5750</v>
      </c>
      <c r="R493" s="93">
        <v>6572373.7593120001</v>
      </c>
      <c r="T493" s="19" t="s">
        <v>6497</v>
      </c>
      <c r="U493" s="19">
        <v>10637</v>
      </c>
      <c r="V493" s="115">
        <v>1739.5916549999999</v>
      </c>
      <c r="W493" s="115">
        <f t="shared" si="92"/>
        <v>18504036.434234999</v>
      </c>
      <c r="X493" s="263" t="s">
        <v>6501</v>
      </c>
    </row>
    <row r="494" spans="17:40" ht="30">
      <c r="Q494" s="97" t="s">
        <v>5752</v>
      </c>
      <c r="R494" s="93">
        <v>2893243.5730909999</v>
      </c>
      <c r="T494" s="19" t="s">
        <v>6554</v>
      </c>
      <c r="U494" s="19">
        <v>39478</v>
      </c>
      <c r="V494" s="115">
        <v>1873.903047</v>
      </c>
      <c r="W494" s="115">
        <f t="shared" si="92"/>
        <v>73977944.489465997</v>
      </c>
      <c r="X494" s="263" t="s">
        <v>6559</v>
      </c>
    </row>
    <row r="495" spans="17:40">
      <c r="Q495" s="97" t="s">
        <v>5758</v>
      </c>
      <c r="R495" s="93">
        <v>94992058.939007998</v>
      </c>
      <c r="T495" s="19" t="s">
        <v>6563</v>
      </c>
      <c r="U495" s="19">
        <v>283</v>
      </c>
      <c r="V495" s="115">
        <v>2014.7222959999999</v>
      </c>
      <c r="W495" s="115">
        <f t="shared" si="92"/>
        <v>570166.40976800001</v>
      </c>
      <c r="X495" s="263" t="s">
        <v>6564</v>
      </c>
      <c r="Y495" t="s">
        <v>25</v>
      </c>
      <c r="AA495" t="s">
        <v>25</v>
      </c>
    </row>
    <row r="496" spans="17:40">
      <c r="Q496" s="97" t="s">
        <v>5765</v>
      </c>
      <c r="R496" s="93">
        <v>275021.925965</v>
      </c>
      <c r="T496" s="19"/>
      <c r="U496" s="19"/>
      <c r="V496" s="115"/>
      <c r="W496" s="115"/>
      <c r="X496" s="263"/>
      <c r="Z496" t="s">
        <v>25</v>
      </c>
      <c r="AA496" t="s">
        <v>25</v>
      </c>
    </row>
    <row r="497" spans="16:28">
      <c r="Q497" s="97" t="s">
        <v>5777</v>
      </c>
      <c r="R497" s="93">
        <v>327451.9203</v>
      </c>
      <c r="T497" s="19"/>
      <c r="U497" s="19"/>
      <c r="V497" s="115"/>
      <c r="W497" s="115"/>
      <c r="X497" s="263"/>
      <c r="Y497" t="s">
        <v>25</v>
      </c>
      <c r="Z497" t="s">
        <v>25</v>
      </c>
    </row>
    <row r="498" spans="16:28">
      <c r="Q498" s="97" t="s">
        <v>5787</v>
      </c>
      <c r="R498" s="93">
        <v>260081.94096800001</v>
      </c>
      <c r="T498" s="19"/>
      <c r="U498" s="19"/>
      <c r="V498" s="115"/>
      <c r="W498" s="115">
        <f t="shared" si="92"/>
        <v>0</v>
      </c>
      <c r="X498" s="263"/>
      <c r="Y498" t="s">
        <v>25</v>
      </c>
      <c r="AA498" t="s">
        <v>25</v>
      </c>
    </row>
    <row r="499" spans="16:28">
      <c r="Q499" s="97" t="s">
        <v>5788</v>
      </c>
      <c r="R499" s="93">
        <v>2909284.5308940001</v>
      </c>
      <c r="T499" s="19"/>
      <c r="U499" s="19"/>
      <c r="V499" s="115"/>
      <c r="W499" s="115">
        <f t="shared" si="92"/>
        <v>0</v>
      </c>
      <c r="X499" s="263"/>
      <c r="Y499" t="s">
        <v>25</v>
      </c>
      <c r="AA499" t="s">
        <v>25</v>
      </c>
    </row>
    <row r="500" spans="16:28">
      <c r="Q500" s="97" t="s">
        <v>5789</v>
      </c>
      <c r="R500" s="93">
        <v>37723205.094084002</v>
      </c>
      <c r="T500" s="97"/>
      <c r="U500" s="166"/>
      <c r="V500" s="111"/>
      <c r="W500" s="115">
        <f t="shared" si="92"/>
        <v>0</v>
      </c>
      <c r="X500" s="97"/>
    </row>
    <row r="501" spans="16:28">
      <c r="Q501" s="97" t="s">
        <v>5790</v>
      </c>
      <c r="R501" s="93">
        <v>1500094.75168</v>
      </c>
      <c r="T501" s="166"/>
      <c r="U501" s="166">
        <f>SUM(U179:U500)</f>
        <v>4349520</v>
      </c>
      <c r="V501" s="97"/>
      <c r="W501" s="97"/>
      <c r="X501" s="97"/>
      <c r="AB501" t="s">
        <v>25</v>
      </c>
    </row>
    <row r="502" spans="16:28">
      <c r="Q502" s="97" t="s">
        <v>5792</v>
      </c>
      <c r="R502" s="93">
        <v>7230628.4378079996</v>
      </c>
      <c r="T502" s="97"/>
      <c r="U502" s="97" t="s">
        <v>6</v>
      </c>
      <c r="V502" s="97"/>
      <c r="W502" s="97"/>
      <c r="X502" s="97"/>
    </row>
    <row r="503" spans="16:28">
      <c r="Q503" s="97" t="s">
        <v>5793</v>
      </c>
      <c r="R503" s="93">
        <v>29767389.390390001</v>
      </c>
      <c r="T503" s="197" t="s">
        <v>4438</v>
      </c>
      <c r="Y503" t="s">
        <v>25</v>
      </c>
    </row>
    <row r="504" spans="16:28">
      <c r="Q504" s="97" t="s">
        <v>5795</v>
      </c>
      <c r="R504" s="93">
        <v>151560.25597</v>
      </c>
      <c r="T504" s="196">
        <f>R195/U501</f>
        <v>2066.5029886056391</v>
      </c>
      <c r="X504" t="s">
        <v>25</v>
      </c>
    </row>
    <row r="505" spans="16:28">
      <c r="Q505" s="97" t="s">
        <v>5798</v>
      </c>
      <c r="R505" s="93">
        <v>481318.88078800001</v>
      </c>
      <c r="W505" s="112"/>
      <c r="X505">
        <v>26601</v>
      </c>
      <c r="Z505" t="s">
        <v>25</v>
      </c>
    </row>
    <row r="506" spans="16:28">
      <c r="Q506" s="97" t="s">
        <v>5811</v>
      </c>
      <c r="R506" s="93">
        <v>146277.56820000001</v>
      </c>
      <c r="U506" s="94" t="s">
        <v>267</v>
      </c>
      <c r="V506" t="s">
        <v>4439</v>
      </c>
      <c r="X506" t="s">
        <v>25</v>
      </c>
    </row>
    <row r="507" spans="16:28">
      <c r="Q507" s="97" t="s">
        <v>5814</v>
      </c>
      <c r="R507" s="93">
        <v>424693.40162399999</v>
      </c>
      <c r="T507" s="112"/>
      <c r="U507" s="93">
        <v>-570937</v>
      </c>
      <c r="V507">
        <f>U507/T504</f>
        <v>-276.28171996268753</v>
      </c>
      <c r="X507" t="s">
        <v>25</v>
      </c>
    </row>
    <row r="508" spans="16:28">
      <c r="Q508" s="97" t="s">
        <v>5816</v>
      </c>
      <c r="R508" s="93">
        <v>558320.40202399995</v>
      </c>
      <c r="T508" t="s">
        <v>25</v>
      </c>
      <c r="X508" t="s">
        <v>25</v>
      </c>
    </row>
    <row r="509" spans="16:28">
      <c r="Q509" s="97" t="s">
        <v>5840</v>
      </c>
      <c r="R509" s="93">
        <v>207642.22201140001</v>
      </c>
      <c r="T509" t="s">
        <v>25</v>
      </c>
      <c r="U509" s="94" t="s">
        <v>25</v>
      </c>
      <c r="V509" s="22"/>
      <c r="W509" s="214"/>
      <c r="X509" s="272" t="s">
        <v>25</v>
      </c>
    </row>
    <row r="510" spans="16:28">
      <c r="Q510" s="97" t="s">
        <v>5840</v>
      </c>
      <c r="R510" s="93">
        <v>33832510.64875</v>
      </c>
      <c r="V510" t="s">
        <v>25</v>
      </c>
      <c r="X510" t="s">
        <v>25</v>
      </c>
    </row>
    <row r="511" spans="16:28">
      <c r="P511" t="s">
        <v>25</v>
      </c>
      <c r="Q511" s="97" t="s">
        <v>5855</v>
      </c>
      <c r="R511" s="93">
        <v>637977.33504399995</v>
      </c>
      <c r="W511" s="112"/>
      <c r="X511" t="s">
        <v>25</v>
      </c>
    </row>
    <row r="512" spans="16:28" ht="60">
      <c r="Q512" s="97" t="s">
        <v>5856</v>
      </c>
      <c r="R512" s="93">
        <v>466552.25632400002</v>
      </c>
      <c r="T512" s="22" t="s">
        <v>4424</v>
      </c>
      <c r="V512" s="214"/>
    </row>
    <row r="513" spans="17:24" ht="45">
      <c r="Q513" s="97" t="s">
        <v>5857</v>
      </c>
      <c r="R513" s="93">
        <v>149316.98805000001</v>
      </c>
      <c r="T513" s="22" t="s">
        <v>4425</v>
      </c>
      <c r="W513" s="272"/>
    </row>
    <row r="514" spans="17:24">
      <c r="Q514" s="97" t="s">
        <v>5857</v>
      </c>
      <c r="R514" s="93">
        <v>189134.85153000001</v>
      </c>
    </row>
    <row r="515" spans="17:24">
      <c r="Q515" s="97" t="s">
        <v>5862</v>
      </c>
      <c r="R515" s="93">
        <v>564888.82799599995</v>
      </c>
    </row>
    <row r="516" spans="17:24">
      <c r="Q516" s="97" t="s">
        <v>5871</v>
      </c>
      <c r="R516" s="93">
        <v>8762299.2047910001</v>
      </c>
      <c r="T516" s="97" t="s">
        <v>4440</v>
      </c>
      <c r="U516" s="97" t="s">
        <v>4419</v>
      </c>
      <c r="V516" s="97" t="s">
        <v>938</v>
      </c>
      <c r="W516" s="72" t="s">
        <v>5546</v>
      </c>
    </row>
    <row r="517" spans="17:24">
      <c r="Q517" s="97" t="s">
        <v>5871</v>
      </c>
      <c r="R517" s="93">
        <v>-341847876.93843603</v>
      </c>
      <c r="T517" s="93">
        <f>S242+R310+R531</f>
        <v>2471560718.6944375</v>
      </c>
      <c r="U517" s="93">
        <f>R195</f>
        <v>8988296079</v>
      </c>
      <c r="V517" s="93">
        <f>U517-T517</f>
        <v>6516735360.305563</v>
      </c>
    </row>
    <row r="518" spans="17:24">
      <c r="Q518" s="97" t="s">
        <v>5906</v>
      </c>
      <c r="R518" s="93">
        <v>259993.58394100002</v>
      </c>
      <c r="W518" s="94" t="s">
        <v>25</v>
      </c>
    </row>
    <row r="519" spans="17:24">
      <c r="Q519" s="97" t="s">
        <v>5910</v>
      </c>
      <c r="R519" s="93">
        <v>269955.31205999997</v>
      </c>
    </row>
    <row r="520" spans="17:24">
      <c r="Q520" s="97" t="s">
        <v>6458</v>
      </c>
      <c r="R520" s="93">
        <v>560534.38387200003</v>
      </c>
      <c r="T520" s="115"/>
      <c r="V520" s="112">
        <f>(444000000+2500000)*2/3</f>
        <v>297666666.66666669</v>
      </c>
    </row>
    <row r="521" spans="17:24">
      <c r="Q521" s="97" t="s">
        <v>6467</v>
      </c>
      <c r="R521" s="93">
        <v>581484.96802499995</v>
      </c>
    </row>
    <row r="522" spans="17:24">
      <c r="Q522" s="97" t="s">
        <v>6470</v>
      </c>
      <c r="R522" s="93">
        <v>2136964.3409779998</v>
      </c>
      <c r="T522" s="112">
        <f>W325+W326+W328+W329+W331+W332</f>
        <v>-301699041.74755996</v>
      </c>
    </row>
    <row r="523" spans="17:24">
      <c r="Q523" s="97" t="s">
        <v>6474</v>
      </c>
      <c r="R523" s="93">
        <v>593783.22629999998</v>
      </c>
      <c r="T523" t="s">
        <v>25</v>
      </c>
    </row>
    <row r="524" spans="17:24">
      <c r="Q524" s="97" t="s">
        <v>6478</v>
      </c>
      <c r="R524" s="93">
        <v>469469.96222000004</v>
      </c>
      <c r="T524" s="112">
        <f>V520+T522</f>
        <v>-4032375.0808932781</v>
      </c>
    </row>
    <row r="525" spans="17:24">
      <c r="Q525" s="97" t="s">
        <v>6554</v>
      </c>
      <c r="R525" s="93">
        <v>73977944.489465997</v>
      </c>
      <c r="T525" t="s">
        <v>25</v>
      </c>
    </row>
    <row r="526" spans="17:24">
      <c r="Q526" s="97" t="s">
        <v>6563</v>
      </c>
      <c r="R526" s="93">
        <v>570166.40976800001</v>
      </c>
      <c r="T526" t="s">
        <v>25</v>
      </c>
      <c r="X526" s="112">
        <f>V534+V536</f>
        <v>22521440</v>
      </c>
    </row>
    <row r="527" spans="17:24">
      <c r="Q527" s="97"/>
      <c r="R527" s="93"/>
      <c r="W527" s="94" t="s">
        <v>25</v>
      </c>
    </row>
    <row r="528" spans="17: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2209118156.2550983</v>
      </c>
      <c r="T531" s="97" t="s">
        <v>452</v>
      </c>
      <c r="U531" s="97">
        <v>4217700</v>
      </c>
      <c r="V531" s="35">
        <f>U531*80</f>
        <v>337416000</v>
      </c>
      <c r="W531" s="94" t="s">
        <v>25</v>
      </c>
    </row>
    <row r="532" spans="17:24">
      <c r="R532" s="97" t="s">
        <v>6</v>
      </c>
      <c r="T532" s="97" t="s">
        <v>5874</v>
      </c>
      <c r="U532" s="97">
        <v>2527652</v>
      </c>
      <c r="V532" s="49">
        <f>U532*80-50000000</f>
        <v>152212160</v>
      </c>
      <c r="X532" t="s">
        <v>25</v>
      </c>
    </row>
    <row r="533" spans="17:24">
      <c r="T533" s="97" t="s">
        <v>5852</v>
      </c>
      <c r="U533" s="97">
        <v>47381</v>
      </c>
      <c r="V533" s="35">
        <f t="shared" ref="V533" si="113">U533*80</f>
        <v>3790480</v>
      </c>
    </row>
    <row r="534" spans="17:24">
      <c r="Q534" t="s">
        <v>25</v>
      </c>
      <c r="T534" s="97" t="s">
        <v>1071</v>
      </c>
      <c r="U534" s="97">
        <v>226303</v>
      </c>
      <c r="V534" s="186">
        <f>U534*80</f>
        <v>18104240</v>
      </c>
    </row>
    <row r="535" spans="17:24">
      <c r="T535" s="97" t="s">
        <v>5851</v>
      </c>
      <c r="U535" s="97">
        <v>8020</v>
      </c>
      <c r="V535" s="35">
        <f>U535*80</f>
        <v>641600</v>
      </c>
    </row>
    <row r="536" spans="17:24">
      <c r="Q536" t="s">
        <v>25</v>
      </c>
      <c r="R536" t="s">
        <v>25</v>
      </c>
      <c r="T536" s="97" t="s">
        <v>5847</v>
      </c>
      <c r="U536" s="97">
        <v>55215</v>
      </c>
      <c r="V536" s="186">
        <f>U536*80</f>
        <v>4417200</v>
      </c>
    </row>
    <row r="537" spans="17:24">
      <c r="R537" t="s">
        <v>25</v>
      </c>
      <c r="T537" s="97" t="s">
        <v>5848</v>
      </c>
      <c r="U537" s="97">
        <v>26770</v>
      </c>
      <c r="V537" s="49">
        <f>U537*80</f>
        <v>2141600</v>
      </c>
    </row>
    <row r="538" spans="17:24">
      <c r="Q538" s="112"/>
      <c r="R538" t="s">
        <v>25</v>
      </c>
    </row>
    <row r="540" spans="17:24">
      <c r="R540" t="s">
        <v>25</v>
      </c>
    </row>
    <row r="541" spans="17:24">
      <c r="X541" t="s">
        <v>25</v>
      </c>
    </row>
    <row r="542" spans="17:24">
      <c r="T542" s="97" t="s">
        <v>5528</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P36" sqref="P3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7" si="0">C1*D1*0.99114/(F1*1.0037158)</f>
        <v>3675.0457776439484</v>
      </c>
      <c r="H1" s="204">
        <f t="shared" ref="H1:H27" si="1">C1/F1</f>
        <v>1.2405585193966937</v>
      </c>
      <c r="I1" s="289">
        <f>$R$5/$R$4</f>
        <v>1.4379084967320261</v>
      </c>
      <c r="J1" s="20">
        <f t="shared" ref="J1:J27" si="2">I1/H1</f>
        <v>1.1590815541948858</v>
      </c>
      <c r="K1" s="97">
        <f t="shared" ref="K1:K27" si="3">(1/J1-1.0256)*100</f>
        <v>-16.284793878320848</v>
      </c>
      <c r="L1" s="20"/>
      <c r="M1" s="20"/>
      <c r="N1" s="20">
        <v>1</v>
      </c>
      <c r="P1" s="94"/>
      <c r="Q1" s="67" t="s">
        <v>5905</v>
      </c>
      <c r="R1" s="314">
        <v>2112</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1.4379084967320261</v>
      </c>
      <c r="J2" s="20">
        <f t="shared" si="2"/>
        <v>1.0942115034136759</v>
      </c>
      <c r="K2" s="97">
        <f t="shared" si="3"/>
        <v>-11.169990218505177</v>
      </c>
      <c r="L2" s="20" t="s">
        <v>25</v>
      </c>
      <c r="M2" s="20"/>
      <c r="N2" s="20">
        <f>H2/H1</f>
        <v>1.0592847457542085</v>
      </c>
      <c r="P2" s="94"/>
      <c r="Q2" s="97" t="s">
        <v>4219</v>
      </c>
      <c r="R2" s="283">
        <v>1190</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1.4379084967320261</v>
      </c>
      <c r="J3" s="20">
        <f t="shared" si="2"/>
        <v>1.0843080188295517</v>
      </c>
      <c r="K3" s="97">
        <f t="shared" si="3"/>
        <v>-10.335283163593822</v>
      </c>
      <c r="L3" s="20"/>
      <c r="M3" s="20"/>
      <c r="N3" s="20">
        <f>H3/H2</f>
        <v>1.0091334606146456</v>
      </c>
      <c r="P3" s="113"/>
      <c r="Q3" s="97" t="s">
        <v>5278</v>
      </c>
      <c r="R3" s="296">
        <v>1390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18.487394957983192</v>
      </c>
      <c r="J4" s="97">
        <f t="shared" si="2"/>
        <v>1.0440587158140238</v>
      </c>
      <c r="K4" s="97">
        <f t="shared" si="3"/>
        <v>-6.7799461722487964</v>
      </c>
      <c r="L4" s="97"/>
      <c r="M4" s="97"/>
      <c r="N4" s="281">
        <v>1</v>
      </c>
      <c r="P4" s="113"/>
      <c r="Q4" s="97" t="s">
        <v>4357</v>
      </c>
      <c r="R4" s="295">
        <v>15300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18.487394957983192</v>
      </c>
      <c r="J5" s="97">
        <f t="shared" si="2"/>
        <v>1.0286038992970399</v>
      </c>
      <c r="K5" s="97">
        <f t="shared" si="3"/>
        <v>-5.3408468659887687</v>
      </c>
      <c r="L5" s="97"/>
      <c r="M5" s="97"/>
      <c r="N5" s="281">
        <f>H5/H4</f>
        <v>1.015025041736227</v>
      </c>
      <c r="P5" s="113"/>
      <c r="Q5" s="97" t="s">
        <v>4361</v>
      </c>
      <c r="R5" s="282">
        <v>22000</v>
      </c>
      <c r="S5" s="113"/>
      <c r="T5" s="113"/>
      <c r="U5" s="113"/>
      <c r="AA5" s="113"/>
      <c r="AB5" s="113"/>
      <c r="AC5" s="113"/>
    </row>
    <row r="6" spans="1:29" ht="21">
      <c r="A6" s="273" t="s">
        <v>5756</v>
      </c>
      <c r="B6" s="273" t="s">
        <v>4361</v>
      </c>
      <c r="C6" s="274">
        <v>21532</v>
      </c>
      <c r="D6" s="273">
        <v>2917</v>
      </c>
      <c r="E6" s="275" t="s">
        <v>4219</v>
      </c>
      <c r="F6" s="277">
        <v>1188</v>
      </c>
      <c r="G6" s="292">
        <f t="shared" si="0"/>
        <v>52206.983736096045</v>
      </c>
      <c r="H6" s="293">
        <f t="shared" si="1"/>
        <v>18.124579124579125</v>
      </c>
      <c r="I6" s="280">
        <f>$R$5/$R$2</f>
        <v>18.487394957983192</v>
      </c>
      <c r="J6" s="97">
        <f t="shared" si="2"/>
        <v>1.0200178901209378</v>
      </c>
      <c r="K6" s="97">
        <f t="shared" si="3"/>
        <v>-4.5225038261401895</v>
      </c>
      <c r="L6" s="97"/>
      <c r="M6" s="97"/>
      <c r="N6" s="281">
        <f>H6/H5</f>
        <v>1.0084175084175084</v>
      </c>
      <c r="P6" s="113"/>
      <c r="Q6" s="67" t="s">
        <v>5867</v>
      </c>
      <c r="R6" s="300">
        <v>440</v>
      </c>
      <c r="S6" s="113"/>
      <c r="T6" s="113"/>
      <c r="U6" s="113"/>
      <c r="X6" s="113"/>
      <c r="Y6" s="113"/>
      <c r="Z6" s="113"/>
      <c r="AA6" s="113"/>
      <c r="AB6" s="113"/>
      <c r="AC6" s="113"/>
    </row>
    <row r="7" spans="1:29" ht="21">
      <c r="A7" s="273" t="s">
        <v>5752</v>
      </c>
      <c r="B7" s="273" t="s">
        <v>4361</v>
      </c>
      <c r="C7" s="274">
        <v>21532</v>
      </c>
      <c r="D7" s="273">
        <v>18100</v>
      </c>
      <c r="E7" s="275" t="s">
        <v>4219</v>
      </c>
      <c r="F7" s="277">
        <v>1184</v>
      </c>
      <c r="G7" s="292">
        <f t="shared" si="0"/>
        <v>325039.0099858836</v>
      </c>
      <c r="H7" s="293">
        <f t="shared" si="1"/>
        <v>18.185810810810811</v>
      </c>
      <c r="I7" s="280">
        <f>$R$5/$R$2</f>
        <v>18.487394957983192</v>
      </c>
      <c r="J7" s="97">
        <f t="shared" si="2"/>
        <v>1.0165834864504968</v>
      </c>
      <c r="K7" s="97">
        <f t="shared" si="3"/>
        <v>-4.1912960687960581</v>
      </c>
      <c r="L7" s="36"/>
      <c r="M7" s="97"/>
      <c r="N7" s="281">
        <f>H7/H6</f>
        <v>1.0033783783783783</v>
      </c>
      <c r="O7" s="94"/>
      <c r="P7" s="113"/>
      <c r="Q7" s="67" t="s">
        <v>6479</v>
      </c>
      <c r="R7" s="319">
        <v>350</v>
      </c>
      <c r="S7" s="113"/>
      <c r="T7" s="113"/>
      <c r="U7" s="113"/>
      <c r="V7" s="113"/>
      <c r="W7" s="113"/>
      <c r="X7" s="113"/>
      <c r="Y7" s="113"/>
      <c r="Z7" s="113"/>
      <c r="AA7" s="113"/>
      <c r="AB7" s="113"/>
      <c r="AC7" s="113"/>
    </row>
    <row r="8" spans="1:29" ht="21">
      <c r="A8" s="273" t="s">
        <v>5789</v>
      </c>
      <c r="B8" s="273" t="s">
        <v>4361</v>
      </c>
      <c r="C8" s="274">
        <v>17601</v>
      </c>
      <c r="D8" s="273">
        <v>617</v>
      </c>
      <c r="E8" s="275" t="s">
        <v>4219</v>
      </c>
      <c r="F8" s="277">
        <v>982</v>
      </c>
      <c r="G8" s="292">
        <f t="shared" si="0"/>
        <v>10920.317418325176</v>
      </c>
      <c r="H8" s="293">
        <f t="shared" si="1"/>
        <v>17.923625254582486</v>
      </c>
      <c r="I8" s="280">
        <f>$R$5/$R$2</f>
        <v>18.487394957983192</v>
      </c>
      <c r="J8" s="97">
        <f t="shared" si="2"/>
        <v>1.0314539997011245</v>
      </c>
      <c r="K8" s="97">
        <f t="shared" si="3"/>
        <v>-5.6094815774856421</v>
      </c>
      <c r="L8" s="36"/>
      <c r="M8" s="97"/>
      <c r="N8" s="281">
        <f>H8/H7</f>
        <v>0.98558296031142778</v>
      </c>
      <c r="P8" s="113"/>
      <c r="Q8" s="67" t="s">
        <v>5859</v>
      </c>
      <c r="R8" s="298">
        <v>250</v>
      </c>
      <c r="S8" s="113"/>
      <c r="T8" s="113"/>
      <c r="U8" s="113"/>
      <c r="V8" s="113"/>
      <c r="W8" s="113"/>
      <c r="Y8" t="s">
        <v>25</v>
      </c>
      <c r="AA8" s="113"/>
      <c r="AB8" s="113"/>
      <c r="AC8" s="113"/>
    </row>
    <row r="9" spans="1:29">
      <c r="A9" s="60" t="s">
        <v>5703</v>
      </c>
      <c r="B9" s="60" t="s">
        <v>4357</v>
      </c>
      <c r="C9" s="49">
        <v>16290.07</v>
      </c>
      <c r="D9" s="60">
        <v>828</v>
      </c>
      <c r="E9" s="275" t="s">
        <v>4219</v>
      </c>
      <c r="F9" s="277">
        <v>1165</v>
      </c>
      <c r="G9" s="275">
        <f t="shared" si="0"/>
        <v>11432.773639003522</v>
      </c>
      <c r="H9" s="276">
        <f t="shared" si="1"/>
        <v>13.98289270386266</v>
      </c>
      <c r="I9" s="280">
        <f t="shared" ref="I9:I21" si="4">$R$4/$R$2</f>
        <v>12.857142857142858</v>
      </c>
      <c r="J9" s="20">
        <f t="shared" si="2"/>
        <v>0.9194909186130833</v>
      </c>
      <c r="K9" s="20">
        <f t="shared" si="3"/>
        <v>6.1958321411540229</v>
      </c>
      <c r="L9" s="20"/>
      <c r="M9" s="20"/>
      <c r="N9" s="20">
        <v>1</v>
      </c>
      <c r="P9" s="113"/>
      <c r="Q9" s="113"/>
      <c r="R9" s="113"/>
    </row>
    <row r="10" spans="1:29">
      <c r="A10" s="60" t="s">
        <v>5793</v>
      </c>
      <c r="B10" s="60" t="s">
        <v>4357</v>
      </c>
      <c r="C10" s="49">
        <v>13371</v>
      </c>
      <c r="D10" s="60">
        <v>598</v>
      </c>
      <c r="E10" s="275" t="s">
        <v>4219</v>
      </c>
      <c r="F10" s="277">
        <v>1163</v>
      </c>
      <c r="G10" s="275">
        <f t="shared" si="0"/>
        <v>6789.0592824092246</v>
      </c>
      <c r="H10" s="276">
        <f t="shared" si="1"/>
        <v>11.496990541702493</v>
      </c>
      <c r="I10" s="280">
        <f t="shared" si="4"/>
        <v>12.857142857142858</v>
      </c>
      <c r="J10" s="20">
        <f t="shared" si="2"/>
        <v>1.1183050738805731</v>
      </c>
      <c r="K10" s="20">
        <f t="shared" si="3"/>
        <v>-13.138962453425052</v>
      </c>
      <c r="L10" s="20"/>
      <c r="M10" s="20"/>
      <c r="N10" s="20">
        <f t="shared" ref="N10:N20" si="5">H10/H9</f>
        <v>0.82221831957035207</v>
      </c>
      <c r="Q10" s="97">
        <v>158000</v>
      </c>
      <c r="R10" s="97">
        <v>133728</v>
      </c>
    </row>
    <row r="11" spans="1:29">
      <c r="A11" s="60" t="s">
        <v>5795</v>
      </c>
      <c r="B11" s="60" t="s">
        <v>4357</v>
      </c>
      <c r="C11" s="49">
        <v>13248</v>
      </c>
      <c r="D11" s="60">
        <v>1000</v>
      </c>
      <c r="E11" s="275" t="s">
        <v>4219</v>
      </c>
      <c r="F11" s="277">
        <v>1142</v>
      </c>
      <c r="G11" s="275">
        <f t="shared" si="0"/>
        <v>11455.352519845814</v>
      </c>
      <c r="H11" s="276">
        <f t="shared" si="1"/>
        <v>11.600700525394046</v>
      </c>
      <c r="I11" s="280">
        <f t="shared" si="4"/>
        <v>12.857142857142858</v>
      </c>
      <c r="J11" s="20">
        <f t="shared" si="2"/>
        <v>1.108307453416149</v>
      </c>
      <c r="K11" s="20">
        <f t="shared" si="3"/>
        <v>-12.332329246935203</v>
      </c>
      <c r="L11" s="20"/>
      <c r="M11" s="20"/>
      <c r="N11" s="20">
        <f t="shared" si="5"/>
        <v>1.0090206200757816</v>
      </c>
      <c r="Q11" s="97">
        <f>Q10*R11/R10</f>
        <v>23999.865398420676</v>
      </c>
      <c r="R11" s="97">
        <v>20313</v>
      </c>
      <c r="S11" s="113"/>
    </row>
    <row r="12" spans="1:29">
      <c r="A12" s="60" t="s">
        <v>5796</v>
      </c>
      <c r="B12" s="60" t="s">
        <v>4357</v>
      </c>
      <c r="C12" s="49">
        <v>13248</v>
      </c>
      <c r="D12" s="60">
        <v>1000</v>
      </c>
      <c r="E12" s="275" t="s">
        <v>4219</v>
      </c>
      <c r="F12" s="277">
        <v>1131</v>
      </c>
      <c r="G12" s="275">
        <f t="shared" si="0"/>
        <v>11566.76620483105</v>
      </c>
      <c r="H12" s="276">
        <f t="shared" si="1"/>
        <v>11.713527851458887</v>
      </c>
      <c r="I12" s="280">
        <f t="shared" si="4"/>
        <v>12.857142857142858</v>
      </c>
      <c r="J12" s="20">
        <f t="shared" si="2"/>
        <v>1.0976319875776397</v>
      </c>
      <c r="K12" s="20">
        <f t="shared" si="3"/>
        <v>-11.454783377542</v>
      </c>
      <c r="L12" s="20"/>
      <c r="M12" s="20"/>
      <c r="N12" s="20">
        <f t="shared" si="5"/>
        <v>1.0097259062776305</v>
      </c>
      <c r="Q12" s="97">
        <f>Q10-Q11</f>
        <v>134000.13460157934</v>
      </c>
      <c r="R12" s="97">
        <f>R10-R11</f>
        <v>113415</v>
      </c>
      <c r="S12" s="113"/>
      <c r="X12" t="s">
        <v>25</v>
      </c>
    </row>
    <row r="13" spans="1:29">
      <c r="A13" s="60" t="s">
        <v>5798</v>
      </c>
      <c r="B13" s="60" t="s">
        <v>4357</v>
      </c>
      <c r="C13" s="49">
        <v>12698</v>
      </c>
      <c r="D13" s="60">
        <v>1000</v>
      </c>
      <c r="E13" s="275" t="s">
        <v>4219</v>
      </c>
      <c r="F13" s="277">
        <v>1070</v>
      </c>
      <c r="G13" s="275">
        <f t="shared" si="0"/>
        <v>11718.601553059423</v>
      </c>
      <c r="H13" s="276">
        <f t="shared" si="1"/>
        <v>11.867289719626168</v>
      </c>
      <c r="I13" s="280">
        <f t="shared" si="4"/>
        <v>12.857142857142858</v>
      </c>
      <c r="J13" s="20">
        <f t="shared" si="2"/>
        <v>1.0834102108318522</v>
      </c>
      <c r="K13" s="20">
        <f t="shared" si="3"/>
        <v>-10.258857736240934</v>
      </c>
      <c r="L13" s="20"/>
      <c r="M13" s="20"/>
      <c r="N13" s="20">
        <f t="shared" si="5"/>
        <v>1.0131268623865637</v>
      </c>
      <c r="S13" s="113"/>
    </row>
    <row r="14" spans="1:29">
      <c r="A14" s="297" t="s">
        <v>5798</v>
      </c>
      <c r="B14" s="60" t="s">
        <v>4357</v>
      </c>
      <c r="C14" s="49">
        <v>12748</v>
      </c>
      <c r="D14" s="60">
        <v>1000</v>
      </c>
      <c r="E14" s="275" t="s">
        <v>4219</v>
      </c>
      <c r="F14" s="277">
        <v>1083</v>
      </c>
      <c r="G14" s="275">
        <f t="shared" si="0"/>
        <v>11623.524653353457</v>
      </c>
      <c r="H14" s="276">
        <f t="shared" si="1"/>
        <v>11.77100646352724</v>
      </c>
      <c r="I14" s="280">
        <f t="shared" si="4"/>
        <v>12.857142857142858</v>
      </c>
      <c r="J14" s="20">
        <f t="shared" si="2"/>
        <v>1.0922721771482362</v>
      </c>
      <c r="K14" s="20">
        <f t="shared" si="3"/>
        <v>-11.007727505899268</v>
      </c>
      <c r="L14" s="20"/>
      <c r="M14" s="20" t="s">
        <v>25</v>
      </c>
      <c r="N14" s="20">
        <f t="shared" si="5"/>
        <v>0.99188666844968865</v>
      </c>
    </row>
    <row r="15" spans="1:29">
      <c r="A15" s="297" t="s">
        <v>5799</v>
      </c>
      <c r="B15" s="60" t="s">
        <v>4357</v>
      </c>
      <c r="C15" s="49">
        <v>12771</v>
      </c>
      <c r="D15" s="60">
        <v>1580</v>
      </c>
      <c r="E15" s="275" t="s">
        <v>4219</v>
      </c>
      <c r="F15" s="277">
        <v>1058</v>
      </c>
      <c r="G15" s="275">
        <f t="shared" si="0"/>
        <v>18833.045994913271</v>
      </c>
      <c r="H15" s="276">
        <f t="shared" si="1"/>
        <v>12.070888468809073</v>
      </c>
      <c r="I15" s="280">
        <f t="shared" si="4"/>
        <v>12.857142857142858</v>
      </c>
      <c r="J15" s="20">
        <f t="shared" si="2"/>
        <v>1.0651364139736232</v>
      </c>
      <c r="K15" s="20">
        <f t="shared" si="3"/>
        <v>-8.6753119092627617</v>
      </c>
      <c r="L15" s="20"/>
      <c r="M15" s="20"/>
      <c r="N15" s="20">
        <f t="shared" si="5"/>
        <v>1.0254763266175264</v>
      </c>
    </row>
    <row r="16" spans="1:29">
      <c r="A16" s="297" t="s">
        <v>5806</v>
      </c>
      <c r="B16" s="60" t="s">
        <v>4357</v>
      </c>
      <c r="C16" s="49">
        <v>12777.5</v>
      </c>
      <c r="D16" s="60">
        <v>948</v>
      </c>
      <c r="E16" s="275" t="s">
        <v>4219</v>
      </c>
      <c r="F16" s="277">
        <v>1038</v>
      </c>
      <c r="G16" s="275">
        <f t="shared" si="0"/>
        <v>11523.412709412747</v>
      </c>
      <c r="H16" s="276">
        <f t="shared" si="1"/>
        <v>12.309730250481696</v>
      </c>
      <c r="I16" s="280">
        <f t="shared" si="4"/>
        <v>12.857142857142858</v>
      </c>
      <c r="J16" s="20">
        <f t="shared" si="2"/>
        <v>1.0444699108365709</v>
      </c>
      <c r="K16" s="20">
        <f t="shared" si="3"/>
        <v>-6.8176536073645932</v>
      </c>
      <c r="L16" s="20"/>
      <c r="M16" s="20"/>
      <c r="N16" s="20">
        <f t="shared" si="5"/>
        <v>1.0197865950207214</v>
      </c>
      <c r="Q16" s="97">
        <v>10356</v>
      </c>
      <c r="R16" s="97">
        <f>Q16/0.99114</f>
        <v>10448.57436890853</v>
      </c>
    </row>
    <row r="17" spans="1:24">
      <c r="A17" s="297" t="s">
        <v>5811</v>
      </c>
      <c r="B17" s="60" t="s">
        <v>4357</v>
      </c>
      <c r="C17" s="49">
        <v>12782</v>
      </c>
      <c r="D17" s="60">
        <v>1648</v>
      </c>
      <c r="E17" s="275" t="s">
        <v>4219</v>
      </c>
      <c r="F17" s="277">
        <v>1019</v>
      </c>
      <c r="G17" s="275">
        <f t="shared" si="0"/>
        <v>20412.964461550731</v>
      </c>
      <c r="H17" s="276">
        <f t="shared" si="1"/>
        <v>12.543670264965652</v>
      </c>
      <c r="I17" s="280">
        <f t="shared" si="4"/>
        <v>12.857142857142858</v>
      </c>
      <c r="J17" s="20">
        <f t="shared" si="2"/>
        <v>1.0249905000335293</v>
      </c>
      <c r="K17" s="20">
        <f t="shared" si="3"/>
        <v>-4.9981201613782611</v>
      </c>
      <c r="L17" s="20"/>
      <c r="M17" s="20"/>
      <c r="N17" s="20">
        <f t="shared" si="5"/>
        <v>1.019004479360935</v>
      </c>
      <c r="Q17" s="97">
        <v>10567</v>
      </c>
      <c r="R17" s="97">
        <f>Q17/1.0037158</f>
        <v>10527.880501632037</v>
      </c>
    </row>
    <row r="18" spans="1:24">
      <c r="A18" s="297" t="s">
        <v>5811</v>
      </c>
      <c r="B18" s="60" t="s">
        <v>4357</v>
      </c>
      <c r="C18" s="49">
        <v>12905</v>
      </c>
      <c r="D18" s="60">
        <v>3000</v>
      </c>
      <c r="E18" s="275" t="s">
        <v>4219</v>
      </c>
      <c r="F18" s="277">
        <v>1021</v>
      </c>
      <c r="G18" s="275">
        <f t="shared" si="0"/>
        <v>37443.614422035993</v>
      </c>
      <c r="H18" s="276">
        <f t="shared" si="1"/>
        <v>12.639569049951028</v>
      </c>
      <c r="I18" s="280">
        <f t="shared" si="4"/>
        <v>12.857142857142858</v>
      </c>
      <c r="J18" s="20">
        <f t="shared" si="2"/>
        <v>1.0172137045441967</v>
      </c>
      <c r="K18" s="20">
        <f t="shared" si="3"/>
        <v>-4.2522407226031289</v>
      </c>
      <c r="L18" s="20"/>
      <c r="M18" s="20"/>
      <c r="N18" s="20">
        <f t="shared" si="5"/>
        <v>1.0076451933891486</v>
      </c>
      <c r="Q18" s="97">
        <v>12346</v>
      </c>
      <c r="R18" s="97">
        <f>Q18*0.99114/1.0037158</f>
        <v>12191.313955603768</v>
      </c>
    </row>
    <row r="19" spans="1:24">
      <c r="A19" s="297" t="s">
        <v>5428</v>
      </c>
      <c r="B19" s="60" t="s">
        <v>4357</v>
      </c>
      <c r="C19" s="49">
        <v>12717</v>
      </c>
      <c r="D19" s="60">
        <v>175</v>
      </c>
      <c r="E19" s="275" t="s">
        <v>4219</v>
      </c>
      <c r="F19" s="277">
        <v>988</v>
      </c>
      <c r="G19" s="275">
        <f t="shared" si="0"/>
        <v>2224.2828755816022</v>
      </c>
      <c r="H19" s="276">
        <f t="shared" si="1"/>
        <v>12.871457489878543</v>
      </c>
      <c r="I19" s="280">
        <f t="shared" si="4"/>
        <v>12.857142857142858</v>
      </c>
      <c r="J19" s="20">
        <f t="shared" si="2"/>
        <v>0.99888787786876965</v>
      </c>
      <c r="K19" s="20">
        <f t="shared" si="3"/>
        <v>-2.448663967611342</v>
      </c>
      <c r="L19" s="20"/>
      <c r="M19" s="20"/>
      <c r="N19" s="20">
        <f t="shared" si="5"/>
        <v>1.0183462299237498</v>
      </c>
    </row>
    <row r="20" spans="1:24">
      <c r="A20" s="297" t="s">
        <v>5855</v>
      </c>
      <c r="B20" s="60" t="s">
        <v>4357</v>
      </c>
      <c r="C20" s="49">
        <v>16189.1</v>
      </c>
      <c r="D20" s="60">
        <v>9477</v>
      </c>
      <c r="E20" s="275" t="s">
        <v>4219</v>
      </c>
      <c r="F20" s="277">
        <v>1179.0999999999999</v>
      </c>
      <c r="G20" s="275">
        <f t="shared" si="0"/>
        <v>128489.36708680206</v>
      </c>
      <c r="H20" s="276">
        <f t="shared" si="1"/>
        <v>13.73004834195573</v>
      </c>
      <c r="I20" s="280">
        <f t="shared" si="4"/>
        <v>12.857142857142858</v>
      </c>
      <c r="J20" s="20">
        <f t="shared" si="2"/>
        <v>0.93642371366272015</v>
      </c>
      <c r="K20" s="20">
        <f t="shared" si="3"/>
        <v>4.2292648818778922</v>
      </c>
      <c r="L20" s="20"/>
      <c r="M20" s="20"/>
      <c r="N20" s="20">
        <f t="shared" si="5"/>
        <v>1.0667050217702494</v>
      </c>
    </row>
    <row r="21" spans="1:24" ht="21">
      <c r="A21" s="297" t="s">
        <v>6458</v>
      </c>
      <c r="B21" s="60" t="s">
        <v>4357</v>
      </c>
      <c r="C21" s="49">
        <v>14499</v>
      </c>
      <c r="D21" s="60">
        <v>200</v>
      </c>
      <c r="E21" s="275" t="s">
        <v>4219</v>
      </c>
      <c r="F21" s="277">
        <v>1019</v>
      </c>
      <c r="G21" s="275">
        <f t="shared" si="0"/>
        <v>2810.0762499755424</v>
      </c>
      <c r="H21" s="276">
        <f t="shared" si="1"/>
        <v>14.22865554465162</v>
      </c>
      <c r="I21" s="280">
        <f t="shared" si="4"/>
        <v>12.857142857142858</v>
      </c>
      <c r="J21" s="20">
        <f t="shared" si="2"/>
        <v>0.90360911589961868</v>
      </c>
      <c r="K21" s="318">
        <f t="shared" si="3"/>
        <v>8.1073209028459168</v>
      </c>
      <c r="L21" s="20"/>
      <c r="M21" s="20"/>
      <c r="N21" s="20">
        <f>H21/H20</f>
        <v>1.0363150362094695</v>
      </c>
    </row>
    <row r="22" spans="1:24" ht="21">
      <c r="A22" s="275" t="s">
        <v>6533</v>
      </c>
      <c r="B22" s="275" t="s">
        <v>4219</v>
      </c>
      <c r="C22" s="277">
        <v>1041</v>
      </c>
      <c r="D22" s="275">
        <v>1</v>
      </c>
      <c r="E22" s="294" t="s">
        <v>5278</v>
      </c>
      <c r="F22" s="315">
        <v>1230.2</v>
      </c>
      <c r="G22" s="294">
        <f t="shared" si="0"/>
        <v>0.83560157467645824</v>
      </c>
      <c r="H22" s="294">
        <f t="shared" si="1"/>
        <v>0.84620386928954638</v>
      </c>
      <c r="I22" s="294">
        <f>$R$2/$R$3</f>
        <v>0.85611510791366907</v>
      </c>
      <c r="J22" s="97">
        <f>I22/H22</f>
        <v>1.0117125895825128</v>
      </c>
      <c r="K22" s="317">
        <f t="shared" si="3"/>
        <v>-3.7176993014731652</v>
      </c>
      <c r="L22" s="97"/>
      <c r="M22" s="97"/>
      <c r="N22" s="97">
        <v>1</v>
      </c>
    </row>
    <row r="23" spans="1:24">
      <c r="A23" s="60" t="s">
        <v>5798</v>
      </c>
      <c r="B23" s="60" t="s">
        <v>4357</v>
      </c>
      <c r="C23" s="49">
        <v>12975.5</v>
      </c>
      <c r="D23" s="60">
        <v>8000</v>
      </c>
      <c r="E23" s="294" t="s">
        <v>5278</v>
      </c>
      <c r="F23" s="315">
        <v>1266.3</v>
      </c>
      <c r="G23" s="294">
        <f t="shared" si="0"/>
        <v>80947.180267609016</v>
      </c>
      <c r="H23" s="294">
        <f t="shared" si="1"/>
        <v>10.246781963199874</v>
      </c>
      <c r="I23" s="294">
        <f>$R$4/$R$3</f>
        <v>11.007194244604317</v>
      </c>
      <c r="J23" s="97">
        <f t="shared" si="2"/>
        <v>1.0742098625827481</v>
      </c>
      <c r="K23" s="97">
        <f t="shared" si="3"/>
        <v>-9.4683207264848246</v>
      </c>
      <c r="L23" s="97"/>
      <c r="M23" s="97"/>
      <c r="N23" s="97">
        <v>1</v>
      </c>
      <c r="Q23" s="94"/>
      <c r="X23" t="s">
        <v>25</v>
      </c>
    </row>
    <row r="24" spans="1:24" ht="21">
      <c r="A24" s="60" t="s">
        <v>5799</v>
      </c>
      <c r="B24" s="60" t="s">
        <v>4357</v>
      </c>
      <c r="C24" s="49">
        <v>12936</v>
      </c>
      <c r="D24" s="60">
        <v>316</v>
      </c>
      <c r="E24" s="294" t="s">
        <v>5278</v>
      </c>
      <c r="F24" s="315">
        <v>1250.3</v>
      </c>
      <c r="G24" s="294">
        <f t="shared" si="0"/>
        <v>3228.4725727825744</v>
      </c>
      <c r="H24" s="294">
        <f t="shared" si="1"/>
        <v>10.346316883947853</v>
      </c>
      <c r="I24" s="294">
        <f>$R$4/$R$3</f>
        <v>11.007194244604317</v>
      </c>
      <c r="J24" s="97">
        <f t="shared" si="2"/>
        <v>1.063875615648483</v>
      </c>
      <c r="K24" s="317">
        <f t="shared" si="3"/>
        <v>-8.5640492242646022</v>
      </c>
      <c r="L24" s="97" t="s">
        <v>25</v>
      </c>
      <c r="M24" s="97" t="s">
        <v>25</v>
      </c>
      <c r="N24" s="97">
        <f>H24/H23</f>
        <v>1.0097137736613746</v>
      </c>
      <c r="P24" s="112"/>
    </row>
    <row r="25" spans="1:24">
      <c r="A25" s="60" t="s">
        <v>6444</v>
      </c>
      <c r="B25" s="60" t="s">
        <v>4357</v>
      </c>
      <c r="C25" s="49">
        <v>14500</v>
      </c>
      <c r="D25" s="60">
        <v>32</v>
      </c>
      <c r="E25" s="150" t="s">
        <v>5905</v>
      </c>
      <c r="F25" s="230">
        <v>1973</v>
      </c>
      <c r="G25" s="150">
        <f t="shared" si="0"/>
        <v>232.22829744562071</v>
      </c>
      <c r="H25" s="150">
        <f t="shared" si="1"/>
        <v>7.3492143943233659</v>
      </c>
      <c r="I25" s="150">
        <f>$R$4/$R$1</f>
        <v>7.2443181818181817</v>
      </c>
      <c r="J25" s="97">
        <f t="shared" si="2"/>
        <v>0.98572688087774285</v>
      </c>
      <c r="K25" s="97">
        <f t="shared" si="3"/>
        <v>-1.1120209097323697</v>
      </c>
      <c r="L25" s="97"/>
      <c r="M25" s="97"/>
      <c r="N25" s="97">
        <v>1</v>
      </c>
      <c r="X25" t="s">
        <v>25</v>
      </c>
    </row>
    <row r="26" spans="1:24" ht="21">
      <c r="A26" s="60" t="s">
        <v>6458</v>
      </c>
      <c r="B26" s="60" t="s">
        <v>4357</v>
      </c>
      <c r="C26" s="49">
        <v>14503</v>
      </c>
      <c r="D26" s="60">
        <v>200</v>
      </c>
      <c r="E26" s="150" t="s">
        <v>5905</v>
      </c>
      <c r="F26" s="230">
        <v>1898</v>
      </c>
      <c r="G26" s="150">
        <f t="shared" si="0"/>
        <v>1509.0925581296149</v>
      </c>
      <c r="H26" s="150">
        <f t="shared" si="1"/>
        <v>7.6412012644889353</v>
      </c>
      <c r="I26" s="150">
        <f>$R$4/$R$1</f>
        <v>7.2443181818181817</v>
      </c>
      <c r="J26" s="97">
        <f t="shared" si="2"/>
        <v>0.94806011922298206</v>
      </c>
      <c r="K26" s="317">
        <f t="shared" si="3"/>
        <v>2.9185429451021649</v>
      </c>
      <c r="L26" s="97" t="s">
        <v>25</v>
      </c>
      <c r="M26" s="97" t="s">
        <v>25</v>
      </c>
      <c r="N26" s="97">
        <f>H26/H25</f>
        <v>1.039730351368046</v>
      </c>
    </row>
    <row r="27" spans="1:24">
      <c r="A27" s="275" t="s">
        <v>6449</v>
      </c>
      <c r="B27" s="275" t="s">
        <v>4219</v>
      </c>
      <c r="C27" s="277">
        <v>1038</v>
      </c>
      <c r="D27" s="275">
        <v>100000</v>
      </c>
      <c r="E27" s="150" t="s">
        <v>5905</v>
      </c>
      <c r="F27" s="150">
        <v>1955</v>
      </c>
      <c r="G27" s="150">
        <f t="shared" si="0"/>
        <v>52429.393600945587</v>
      </c>
      <c r="H27" s="150">
        <f t="shared" si="1"/>
        <v>0.53094629156010231</v>
      </c>
      <c r="I27" s="150">
        <f>$R$2/$R$1</f>
        <v>0.56344696969696972</v>
      </c>
      <c r="J27" s="97">
        <f t="shared" si="2"/>
        <v>1.061212741577626</v>
      </c>
      <c r="K27" s="97">
        <f t="shared" si="3"/>
        <v>-8.3281875819381632</v>
      </c>
      <c r="L27" s="97"/>
      <c r="M27" s="97"/>
      <c r="N27" s="97">
        <v>1</v>
      </c>
    </row>
    <row r="28" spans="1:24">
      <c r="A28" s="275" t="s">
        <v>6470</v>
      </c>
      <c r="B28" s="275" t="s">
        <v>4219</v>
      </c>
      <c r="C28" s="277">
        <v>948</v>
      </c>
      <c r="D28" s="275">
        <v>1</v>
      </c>
      <c r="E28" s="150" t="s">
        <v>5905</v>
      </c>
      <c r="F28" s="150">
        <v>1712</v>
      </c>
      <c r="G28" s="150">
        <f t="shared" ref="G28" si="6">C28*D28*0.99114/(F28*1.0037158)</f>
        <v>0.54680039535263103</v>
      </c>
      <c r="H28" s="150">
        <f t="shared" ref="H28" si="7">C28/F28</f>
        <v>0.55373831775700932</v>
      </c>
      <c r="I28" s="150">
        <f>$R$2/$R$1</f>
        <v>0.56344696969696972</v>
      </c>
      <c r="J28" s="97">
        <f>I28/H28</f>
        <v>1.0175329241784938</v>
      </c>
      <c r="K28" s="97">
        <f>(1/J28-1.0256)*100</f>
        <v>-4.2830817560669203</v>
      </c>
      <c r="L28" s="97"/>
      <c r="M28" s="97"/>
      <c r="N28" s="97">
        <f>H28/H27</f>
        <v>1.0429271784344443</v>
      </c>
    </row>
    <row r="29" spans="1:24">
      <c r="A29" s="94"/>
      <c r="B29" s="113"/>
      <c r="C29" s="113"/>
      <c r="D29" s="94"/>
      <c r="E29" s="94"/>
      <c r="F29" s="94"/>
      <c r="G29" s="94"/>
      <c r="H29" s="94"/>
      <c r="I29" s="94"/>
      <c r="J29" s="94"/>
      <c r="K29" s="94"/>
      <c r="L29" s="94"/>
      <c r="M29" s="94"/>
      <c r="N29" s="94"/>
      <c r="S29" t="s">
        <v>25</v>
      </c>
    </row>
    <row r="30" spans="1:24">
      <c r="A30" s="275" t="s">
        <v>6458</v>
      </c>
      <c r="B30" s="275" t="s">
        <v>4219</v>
      </c>
      <c r="C30" s="277">
        <v>1019</v>
      </c>
      <c r="D30" s="275">
        <v>1</v>
      </c>
      <c r="E30" s="299" t="s">
        <v>5867</v>
      </c>
      <c r="F30" s="316">
        <v>390</v>
      </c>
      <c r="G30" s="299">
        <v>1</v>
      </c>
      <c r="H30" s="299"/>
      <c r="I30" s="316">
        <f>C30*D30*0.99114-F30*G30*1.00125</f>
        <v>619.48415999999997</v>
      </c>
      <c r="J30" s="97">
        <f>(G30*$R$6*0.99875+I30)/(R2*1.0037158)</f>
        <v>0.88656633546613728</v>
      </c>
      <c r="K30" s="97">
        <f>J30-D30</f>
        <v>-0.11343366453386272</v>
      </c>
      <c r="L30" s="97"/>
      <c r="M30" s="97"/>
      <c r="N30" s="97"/>
      <c r="S30" t="s">
        <v>25</v>
      </c>
    </row>
    <row r="31" spans="1:24">
      <c r="A31" s="94"/>
      <c r="B31" s="94"/>
      <c r="C31" s="94"/>
      <c r="D31" s="94"/>
      <c r="E31" s="94"/>
      <c r="F31" s="94"/>
      <c r="G31" s="94"/>
      <c r="H31" s="94"/>
      <c r="I31" s="94"/>
      <c r="J31" s="94"/>
      <c r="K31" s="94"/>
      <c r="L31" s="94"/>
      <c r="M31" s="94"/>
      <c r="N31" s="94"/>
      <c r="W31" t="s">
        <v>25</v>
      </c>
    </row>
    <row r="32" spans="1:24">
      <c r="A32" s="113"/>
      <c r="B32" s="113"/>
      <c r="C32" s="113"/>
      <c r="D32" s="113"/>
      <c r="E32" s="113"/>
      <c r="F32" s="113"/>
      <c r="G32" s="113"/>
      <c r="H32" s="113"/>
      <c r="I32" s="113"/>
      <c r="J32" s="113"/>
      <c r="K32" s="113"/>
      <c r="L32" s="113"/>
      <c r="M32" s="113"/>
      <c r="N32" s="113"/>
    </row>
    <row r="33" spans="1:20">
      <c r="A33" s="97" t="s">
        <v>5528</v>
      </c>
      <c r="B33" s="97"/>
      <c r="C33" s="97"/>
      <c r="D33" s="97"/>
      <c r="E33" s="97"/>
      <c r="F33" s="97"/>
      <c r="G33" s="97"/>
      <c r="H33" s="97"/>
      <c r="I33" s="97"/>
      <c r="J33" s="97"/>
      <c r="K33" s="97"/>
      <c r="L33" s="97"/>
      <c r="M33" s="97"/>
      <c r="N33" s="97"/>
      <c r="T33" t="s">
        <v>25</v>
      </c>
    </row>
    <row r="34" spans="1:20">
      <c r="A34" s="273" t="s">
        <v>5752</v>
      </c>
      <c r="B34" s="273" t="s">
        <v>4361</v>
      </c>
      <c r="C34" s="273">
        <v>21532</v>
      </c>
      <c r="D34" s="273">
        <v>1859</v>
      </c>
      <c r="E34" s="275" t="s">
        <v>4219</v>
      </c>
      <c r="F34" s="275">
        <v>1187</v>
      </c>
      <c r="G34" s="275">
        <f>C34*D34*0.99114/(F34*1.0037158)</f>
        <v>33299.467209851166</v>
      </c>
      <c r="H34" s="275">
        <f>C34/F34</f>
        <v>18.139848357203032</v>
      </c>
      <c r="I34" s="275">
        <f>$R$5/$R$2</f>
        <v>18.487394957983192</v>
      </c>
      <c r="J34" s="97">
        <f>I34/H34</f>
        <v>1.0191592892033277</v>
      </c>
      <c r="K34" s="97">
        <f>(1/J34-1.0256)*100</f>
        <v>-4.439911158765419</v>
      </c>
      <c r="L34" s="97"/>
      <c r="M34" s="97"/>
      <c r="N34" s="97">
        <v>1</v>
      </c>
    </row>
    <row r="35" spans="1:20">
      <c r="A35" s="273" t="s">
        <v>5758</v>
      </c>
      <c r="B35" s="273" t="s">
        <v>4361</v>
      </c>
      <c r="C35" s="273">
        <v>22420.1</v>
      </c>
      <c r="D35" s="273">
        <v>1000</v>
      </c>
      <c r="E35" s="275" t="s">
        <v>4219</v>
      </c>
      <c r="F35" s="275">
        <v>1161</v>
      </c>
      <c r="G35" s="275">
        <f>C35*D35*0.99114/(F35*1.0037158)</f>
        <v>19069.072437793271</v>
      </c>
      <c r="H35" s="275">
        <f>C35/F35</f>
        <v>19.311024978466836</v>
      </c>
      <c r="I35" s="275">
        <f>$R$5/$R$2</f>
        <v>18.487394957983192</v>
      </c>
      <c r="J35" s="97">
        <f>I35/H35</f>
        <v>0.95734923333163047</v>
      </c>
      <c r="K35" s="97">
        <f>(1/J35-1.0256)*100</f>
        <v>1.8950896562524466</v>
      </c>
      <c r="L35" s="97" t="s">
        <v>25</v>
      </c>
      <c r="M35" s="97"/>
      <c r="N35" s="97">
        <f>H35/H34</f>
        <v>1.064563749277361</v>
      </c>
      <c r="P35" s="112"/>
      <c r="Q35" s="112"/>
      <c r="T35" t="s">
        <v>25</v>
      </c>
    </row>
    <row r="36" spans="1:20">
      <c r="A36" s="273" t="s">
        <v>5760</v>
      </c>
      <c r="B36" s="273" t="s">
        <v>4361</v>
      </c>
      <c r="C36" s="273">
        <v>23233.1</v>
      </c>
      <c r="D36" s="273">
        <v>1000</v>
      </c>
      <c r="E36" s="275" t="s">
        <v>4219</v>
      </c>
      <c r="F36" s="275">
        <v>1152</v>
      </c>
      <c r="G36" s="275">
        <f>C36*D36*0.99114/(F36*1.0037158)</f>
        <v>19914.936480069027</v>
      </c>
      <c r="H36" s="275">
        <f>C36/F36</f>
        <v>20.167621527777776</v>
      </c>
      <c r="I36" s="275">
        <f>$R$5/$R$2</f>
        <v>18.487394957983192</v>
      </c>
      <c r="J36" s="97">
        <f>I36/H36</f>
        <v>0.91668692475806668</v>
      </c>
      <c r="K36" s="97">
        <f>(1/J36-1.0256)*100</f>
        <v>6.5284982638888822</v>
      </c>
      <c r="L36" s="97"/>
      <c r="M36" s="97"/>
      <c r="N36" s="97">
        <f>H36/H35</f>
        <v>1.0443579017823292</v>
      </c>
    </row>
    <row r="37" spans="1:20">
      <c r="A37" s="273" t="s">
        <v>5762</v>
      </c>
      <c r="B37" s="273" t="s">
        <v>4361</v>
      </c>
      <c r="C37" s="273">
        <v>23900</v>
      </c>
      <c r="D37" s="273">
        <v>1000</v>
      </c>
      <c r="E37" s="275" t="s">
        <v>4219</v>
      </c>
      <c r="F37" s="275">
        <v>1153</v>
      </c>
      <c r="G37" s="275">
        <f>C37*D37*0.99114/(F37*1.0037158)</f>
        <v>20468.821398374203</v>
      </c>
      <c r="H37" s="275">
        <f>C37/F37</f>
        <v>20.7285342584562</v>
      </c>
      <c r="I37" s="275">
        <f>$R$5/$R$2</f>
        <v>18.487394957983192</v>
      </c>
      <c r="J37" s="97">
        <f>I37/H37</f>
        <v>0.89188143876797576</v>
      </c>
      <c r="K37" s="97">
        <f>(1/J37-1.0256)*100</f>
        <v>9.5625262161949109</v>
      </c>
      <c r="L37" s="97"/>
      <c r="M37" s="97"/>
      <c r="N37" s="97">
        <f>H37/H36</f>
        <v>1.0278125375322942</v>
      </c>
    </row>
    <row r="38" spans="1:20">
      <c r="A38" s="273" t="s">
        <v>5775</v>
      </c>
      <c r="B38" s="273" t="s">
        <v>4361</v>
      </c>
      <c r="C38" s="273">
        <v>22500</v>
      </c>
      <c r="D38" s="273">
        <v>2000</v>
      </c>
      <c r="E38" s="275" t="s">
        <v>4219</v>
      </c>
      <c r="F38" s="275">
        <v>1093</v>
      </c>
      <c r="G38" s="275">
        <f>C38*D38*0.99114/(F38*1.0037158)</f>
        <v>40655.246136679802</v>
      </c>
      <c r="H38" s="275">
        <f>C38/F38</f>
        <v>20.585544373284538</v>
      </c>
      <c r="I38" s="275">
        <f>$R$5/$R$2</f>
        <v>18.487394957983192</v>
      </c>
      <c r="J38" s="97">
        <f>I38/H38</f>
        <v>0.89807656395891677</v>
      </c>
      <c r="K38" s="97">
        <f>(1/J38-1.0256)*100</f>
        <v>8.7890809282209261</v>
      </c>
      <c r="L38" s="97"/>
      <c r="M38" s="97"/>
      <c r="N38" s="97">
        <f>H38/H37</f>
        <v>0.99310178503753443</v>
      </c>
      <c r="S38" t="s">
        <v>25</v>
      </c>
      <c r="T38" t="s">
        <v>25</v>
      </c>
    </row>
    <row r="39" spans="1:20">
      <c r="A39" s="94"/>
      <c r="N39" s="94"/>
    </row>
    <row r="40" spans="1:20">
      <c r="A40" s="94"/>
      <c r="N40" s="94"/>
      <c r="Q40" t="s">
        <v>25</v>
      </c>
    </row>
    <row r="41" spans="1:20">
      <c r="A41" s="94"/>
      <c r="Q41" t="s">
        <v>25</v>
      </c>
    </row>
    <row r="42" spans="1:20">
      <c r="A42" s="97"/>
      <c r="B42" s="97"/>
      <c r="C42" s="97"/>
      <c r="D42" s="97"/>
      <c r="G42" t="s">
        <v>6510</v>
      </c>
      <c r="R42" t="s">
        <v>25</v>
      </c>
    </row>
    <row r="43" spans="1:20">
      <c r="A43" s="97" t="s">
        <v>5867</v>
      </c>
      <c r="B43" s="97">
        <v>620</v>
      </c>
      <c r="C43" s="97">
        <v>164000</v>
      </c>
      <c r="D43" s="93">
        <f>C43*B43</f>
        <v>101680000</v>
      </c>
      <c r="G43">
        <v>2760</v>
      </c>
      <c r="H43">
        <v>932</v>
      </c>
    </row>
    <row r="44" spans="1:20">
      <c r="A44" s="97" t="s">
        <v>6479</v>
      </c>
      <c r="B44" s="97">
        <v>720</v>
      </c>
      <c r="C44" s="97">
        <v>0</v>
      </c>
      <c r="D44" s="93">
        <f>C44*B44</f>
        <v>0</v>
      </c>
      <c r="J44" t="s">
        <v>25</v>
      </c>
    </row>
    <row r="45" spans="1:20">
      <c r="A45" s="97" t="s">
        <v>5859</v>
      </c>
      <c r="B45" s="97">
        <v>820</v>
      </c>
      <c r="C45" s="97">
        <v>0</v>
      </c>
      <c r="D45" s="93">
        <f>C45*B45</f>
        <v>0</v>
      </c>
      <c r="R45" t="s">
        <v>25</v>
      </c>
    </row>
    <row r="46" spans="1:20">
      <c r="A46" s="97"/>
      <c r="B46" s="97"/>
      <c r="C46" s="97"/>
      <c r="D46" s="93"/>
      <c r="G46" t="s">
        <v>6511</v>
      </c>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t="s">
        <v>25</v>
      </c>
      <c r="D53" s="93"/>
    </row>
    <row r="54" spans="1:19">
      <c r="A54" s="97"/>
      <c r="B54" s="97"/>
      <c r="C54" s="97"/>
      <c r="D54" s="93">
        <f>SUM(D43:D51)</f>
        <v>101680000</v>
      </c>
    </row>
    <row r="55" spans="1:19">
      <c r="A55" s="97"/>
      <c r="B55" s="97"/>
      <c r="C55" s="97"/>
      <c r="D55" s="97"/>
    </row>
    <row r="56" spans="1:19">
      <c r="A56" s="97" t="s">
        <v>6486</v>
      </c>
      <c r="B56" s="93">
        <v>94000000</v>
      </c>
      <c r="C56" s="97"/>
      <c r="D56" s="97"/>
    </row>
    <row r="57" spans="1:19">
      <c r="A57" s="97"/>
      <c r="B57" s="97"/>
      <c r="C57" s="97"/>
      <c r="D57" s="97"/>
    </row>
    <row r="58" spans="1:19">
      <c r="A58" s="97" t="s">
        <v>4595</v>
      </c>
      <c r="B58" s="93">
        <f>D54-B56</f>
        <v>7680000</v>
      </c>
      <c r="C58" s="97"/>
      <c r="D58" s="97"/>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O83" s="94"/>
      <c r="P83" s="94"/>
      <c r="Q83" s="94"/>
      <c r="R83" s="94" t="s">
        <v>25</v>
      </c>
      <c r="S83" s="94"/>
      <c r="T83" s="94"/>
    </row>
    <row r="84" spans="1:26">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3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8" t="s">
        <v>1073</v>
      </c>
      <c r="R21" s="348"/>
      <c r="S21" s="348"/>
      <c r="T21" s="348"/>
      <c r="U21" s="94"/>
      <c r="V21" s="94"/>
      <c r="W21" s="41" t="s">
        <v>4959</v>
      </c>
      <c r="X21" s="41">
        <v>9035210431</v>
      </c>
      <c r="Y21" s="41">
        <v>50</v>
      </c>
      <c r="Z21" s="41" t="s">
        <v>5221</v>
      </c>
      <c r="AA21" t="s">
        <v>4977</v>
      </c>
    </row>
    <row r="22" spans="5:35">
      <c r="O22" s="97"/>
      <c r="P22" s="97"/>
      <c r="Q22" s="348"/>
      <c r="R22" s="348"/>
      <c r="S22" s="348"/>
      <c r="T22" s="348"/>
      <c r="U22" s="94"/>
      <c r="V22" s="94"/>
      <c r="W22" s="41" t="s">
        <v>5046</v>
      </c>
      <c r="X22" s="41">
        <v>9909620343</v>
      </c>
      <c r="Y22" s="41">
        <v>200</v>
      </c>
      <c r="Z22" s="41" t="s">
        <v>5222</v>
      </c>
      <c r="AA22" t="s">
        <v>5225</v>
      </c>
      <c r="AB22" s="41" t="s">
        <v>5233</v>
      </c>
    </row>
    <row r="23" spans="5:35" ht="15.75">
      <c r="O23" s="176"/>
      <c r="P23" s="97" t="s">
        <v>4069</v>
      </c>
      <c r="Q23" s="349" t="s">
        <v>1074</v>
      </c>
      <c r="R23" s="350" t="s">
        <v>1075</v>
      </c>
      <c r="S23" s="349" t="s">
        <v>1076</v>
      </c>
      <c r="T23" s="351" t="s">
        <v>1077</v>
      </c>
      <c r="W23" s="41" t="s">
        <v>5047</v>
      </c>
      <c r="X23" s="41">
        <v>9378807702</v>
      </c>
      <c r="Y23" s="41">
        <v>0</v>
      </c>
      <c r="Z23" s="41">
        <v>0</v>
      </c>
      <c r="AD23" t="s">
        <v>25</v>
      </c>
    </row>
    <row r="24" spans="5:35">
      <c r="O24" s="97"/>
      <c r="P24" s="97"/>
      <c r="Q24" s="349"/>
      <c r="R24" s="350"/>
      <c r="S24" s="349"/>
      <c r="T24" s="351"/>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10">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10">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10">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10">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10">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10">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10">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10">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10">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10">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10">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10">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10">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10">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10">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10">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10">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10">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10">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11"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11"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11"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11"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11"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11"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11"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11"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11"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11"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11"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11"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11"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11"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11"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11"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11"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11"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11"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11"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11"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11"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11"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11"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11"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11"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11"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11"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11"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11"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11"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11"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11"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11"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11"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11"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11"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11"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11"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11"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11"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11"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11"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11"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11"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11"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11"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11"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11"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11"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1">
        <f>SUM(B2:B70)</f>
        <v>232176627</v>
      </c>
      <c r="C72" s="310">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1148</v>
      </c>
      <c r="H4" s="115">
        <f>C4*G4</f>
        <v>338660000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366252261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1148</v>
      </c>
      <c r="H19" s="115">
        <f>C19*G19</f>
        <v>14850528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296546656</v>
      </c>
    </row>
    <row r="26" spans="1:8">
      <c r="D26" t="s">
        <v>5403</v>
      </c>
      <c r="E26" s="112">
        <f>'خرید خانه'!H10+'خرید خانه'!H23-'خرید خانه'!D10-'خرید خانه'!D23</f>
        <v>361098917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2021-06-24T11:46:02Z</dcterms:modified>
</cp:coreProperties>
</file>