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58" i="18" l="1"/>
  <c r="T22" i="63"/>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c r="R7" i="60"/>
  <c r="R9" i="60"/>
  <c r="R10" i="60"/>
  <c r="R11" i="60"/>
  <c r="R12" i="60"/>
  <c r="R13" i="60"/>
  <c r="R14" i="60"/>
  <c r="L41" i="18"/>
  <c r="B159" i="60" l="1"/>
  <c r="R148" i="60" l="1"/>
  <c r="D17" i="60"/>
  <c r="D18" i="60"/>
  <c r="D16" i="60"/>
  <c r="F17" i="60"/>
  <c r="F18" i="60"/>
  <c r="F16" i="60"/>
  <c r="R147" i="60" l="1"/>
  <c r="W493" i="18"/>
  <c r="W492"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90" i="18"/>
  <c r="Q22" i="63"/>
  <c r="P22" i="63"/>
  <c r="R135" i="60" l="1"/>
  <c r="S136" i="60"/>
  <c r="W489" i="18"/>
  <c r="W488" i="18"/>
  <c r="W487" i="18"/>
  <c r="G28" i="63"/>
  <c r="H28" i="63"/>
  <c r="Q35" i="63"/>
  <c r="P35" i="63"/>
  <c r="Q34" i="63"/>
  <c r="N29" i="63" l="1"/>
  <c r="J28" i="63"/>
  <c r="K28" i="63" s="1"/>
  <c r="R134" i="60"/>
  <c r="S135" i="60"/>
  <c r="W486"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C159"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1" i="63"/>
  <c r="J31" i="63" s="1"/>
  <c r="K31" i="63" s="1"/>
  <c r="G31"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40" i="63"/>
  <c r="H40" i="63"/>
  <c r="J40" i="63" s="1"/>
  <c r="K40"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1" i="18"/>
  <c r="R83" i="60" l="1"/>
  <c r="S84" i="60"/>
  <c r="K43" i="63"/>
  <c r="Q11" i="63"/>
  <c r="N44" i="63"/>
  <c r="N42" i="63"/>
  <c r="N43" i="63"/>
  <c r="N41"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5" i="18" s="1"/>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X150" i="18"/>
  <c r="W150" i="18"/>
  <c r="W151" i="18"/>
  <c r="X151" i="18"/>
  <c r="V152" i="18" l="1"/>
  <c r="S153" i="18"/>
  <c r="V153" i="18" s="1"/>
  <c r="W153" i="18" l="1"/>
  <c r="X153" i="18"/>
  <c r="W152" i="18"/>
  <c r="X152" i="18"/>
</calcChain>
</file>

<file path=xl/sharedStrings.xml><?xml version="1.0" encoding="utf-8"?>
<sst xmlns="http://schemas.openxmlformats.org/spreadsheetml/2006/main" count="15695" uniqueCount="6570">
  <si>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</si>
  <si>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</si>
  <si>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</si>
  <si>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</si>
  <si>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</si>
  <si>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</si>
  <si>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</si>
  <si>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</si>
  <si>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</si>
  <si>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</si>
  <si>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</si>
  <si>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</si>
  <si>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</si>
  <si>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</si>
  <si>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</si>
  <si>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</si>
  <si>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</si>
  <si>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</si>
  <si>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</si>
  <si>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</si>
  <si>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</si>
  <si>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</si>
  <si>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</si>
  <si>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</si>
  <si>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</si>
  <si>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</si>
  <si>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</si>
  <si>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</si>
  <si>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</si>
  <si>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</si>
  <si>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</si>
  <si>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</si>
  <si>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</si>
  <si>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</si>
  <si>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</si>
  <si>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</si>
  <si>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</si>
  <si>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</si>
  <si>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</si>
  <si>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</si>
  <si>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</si>
  <si>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</si>
  <si>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</si>
  <si>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</si>
  <si>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</si>
  <si>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</si>
  <si>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</si>
  <si>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</si>
  <si>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</si>
  <si>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</si>
  <si>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</si>
  <si>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</si>
  <si>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</si>
  <si>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</si>
  <si>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</si>
  <si>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</si>
  <si>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</si>
  <si>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</si>
  <si>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</si>
  <si>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</si>
  <si>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</si>
  <si>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</si>
  <si>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</si>
  <si>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</si>
  <si>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</si>
  <si>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</si>
  <si>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</si>
  <si>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</si>
  <si>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</si>
  <si>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</si>
  <si>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</si>
  <si>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</si>
  <si>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</si>
  <si>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</si>
  <si>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</si>
  <si>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</si>
  <si>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</si>
  <si>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</si>
  <si>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</si>
  <si>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</si>
  <si>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</si>
  <si>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</si>
  <si>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</si>
  <si>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</si>
  <si>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</si>
  <si>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</si>
  <si>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</si>
  <si>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</si>
  <si>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</si>
  <si>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</si>
  <si>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</si>
  <si>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</si>
  <si>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</si>
  <si>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</si>
  <si>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</si>
  <si>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</si>
  <si>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</si>
  <si>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</si>
  <si>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</si>
  <si>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</si>
  <si>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</si>
  <si>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</si>
  <si>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</si>
  <si>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</si>
  <si>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</si>
  <si>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</si>
  <si>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</si>
  <si>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</si>
  <si>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</si>
  <si>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</si>
  <si>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</si>
  <si>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</si>
  <si>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</si>
  <si>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</si>
  <si>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</si>
  <si>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</si>
  <si>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</si>
  <si>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</si>
  <si>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</si>
  <si>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</si>
  <si>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</si>
  <si>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</si>
  <si>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</si>
  <si>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</si>
  <si>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</si>
  <si>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</si>
  <si>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</si>
  <si>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</si>
  <si>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</si>
  <si>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</si>
  <si>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</si>
  <si>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</si>
  <si>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</si>
  <si>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</si>
  <si>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</si>
  <si>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</si>
  <si>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</si>
  <si>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</si>
  <si>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</si>
  <si>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</si>
  <si>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</si>
  <si>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</si>
  <si>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</si>
  <si>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</si>
  <si>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</si>
  <si>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</si>
  <si>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</si>
  <si>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</si>
  <si>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</si>
  <si>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</si>
  <si>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</si>
  <si>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</si>
  <si>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</si>
  <si>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</si>
  <si>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</si>
  <si>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</si>
  <si>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</si>
  <si>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</si>
  <si>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</si>
  <si>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</si>
  <si>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</si>
  <si>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</si>
  <si>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</si>
  <si>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</si>
  <si>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</si>
  <si>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</si>
  <si>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</si>
  <si>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</si>
  <si>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</si>
  <si>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</si>
  <si>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</si>
  <si>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</si>
  <si>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</si>
  <si>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</si>
  <si>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</si>
  <si>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</si>
  <si>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</si>
  <si>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</si>
  <si>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</si>
  <si>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</si>
  <si>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</si>
  <si>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</si>
  <si>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</si>
  <si>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</si>
  <si>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</si>
  <si>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</si>
  <si>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</si>
  <si>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</si>
  <si>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</si>
  <si>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</si>
  <si>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</si>
  <si>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</si>
  <si>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</si>
  <si>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</si>
  <si>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</si>
  <si>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</si>
  <si>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</si>
  <si>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</si>
  <si>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</si>
  <si>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</si>
  <si>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</si>
  <si>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</si>
  <si>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</si>
  <si>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</si>
  <si>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</si>
  <si>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</si>
  <si>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</si>
  <si>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</si>
  <si>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</si>
  <si>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</si>
  <si>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</si>
  <si>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</si>
  <si>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</si>
  <si>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</si>
  <si>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</si>
  <si>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</si>
  <si>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</si>
  <si>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</si>
  <si>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</si>
  <si>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</si>
  <si>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</si>
  <si>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</si>
  <si>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</si>
  <si>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</si>
  <si>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</si>
  <si>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</si>
  <si>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</si>
  <si>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</si>
  <si>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</si>
  <si>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</si>
  <si>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</si>
  <si>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</si>
  <si>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</si>
  <si>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</si>
  <si>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</si>
  <si>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</si>
  <si>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</si>
  <si>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</si>
  <si>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</si>
  <si>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</si>
  <si>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</si>
  <si>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</si>
  <si>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</si>
  <si>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</si>
  <si>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</si>
  <si>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</si>
  <si>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</si>
  <si>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</si>
  <si>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</si>
  <si>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</si>
  <si>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</si>
  <si>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</si>
  <si>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</si>
  <si>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</si>
  <si>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</si>
  <si>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</si>
  <si>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</si>
  <si>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</si>
  <si>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</si>
  <si>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</si>
  <si>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</si>
  <si>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</si>
  <si>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</si>
  <si>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</si>
  <si>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</si>
  <si>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</si>
  <si>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</si>
  <si>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</si>
  <si>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</si>
  <si>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</si>
  <si>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</si>
  <si>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</si>
  <si>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</si>
  <si>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</si>
  <si>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</si>
  <si>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</si>
  <si>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</si>
  <si>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</si>
  <si>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</si>
  <si>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</si>
  <si>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</si>
  <si>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</si>
  <si>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</si>
  <si>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</si>
  <si>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</si>
  <si>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</si>
  <si>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</si>
  <si>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</si>
  <si>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</si>
  <si>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</si>
  <si>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</si>
  <si>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</si>
  <si>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</si>
  <si>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</si>
  <si>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</si>
  <si>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</si>
  <si>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</si>
  <si>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</si>
  <si>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</si>
  <si>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</si>
  <si>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</si>
  <si>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</si>
  <si>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</si>
  <si>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</si>
  <si>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</si>
  <si>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</si>
  <si>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</si>
  <si>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</si>
  <si>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</si>
  <si>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</si>
  <si>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</si>
  <si>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</si>
  <si>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</si>
  <si>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</si>
  <si>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</si>
  <si>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</si>
  <si>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</si>
  <si>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</si>
  <si>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</si>
  <si>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</si>
  <si>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</si>
  <si>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</si>
  <si>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</si>
  <si>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</si>
  <si>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</si>
  <si>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</si>
  <si>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</si>
  <si>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</si>
  <si>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</si>
  <si>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</si>
  <si>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</si>
  <si>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</si>
  <si>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</si>
  <si>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</si>
  <si>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</si>
  <si>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</si>
  <si>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</si>
  <si>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</si>
  <si>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</si>
  <si>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</si>
  <si>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</si>
  <si>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</si>
  <si>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</si>
  <si>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</si>
  <si>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</si>
  <si>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</si>
  <si>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</si>
  <si>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</si>
  <si>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</si>
  <si>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</si>
  <si>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</si>
  <si>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</si>
  <si>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</si>
  <si>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</si>
  <si>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</si>
  <si>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</si>
  <si>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</si>
  <si>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</si>
  <si>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</si>
  <si>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</si>
  <si>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</si>
  <si>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</si>
  <si>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</si>
  <si>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</si>
  <si>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</si>
  <si>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</si>
  <si>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</si>
  <si>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</si>
  <si>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</si>
  <si>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</si>
  <si>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</si>
  <si>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</si>
  <si>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</si>
  <si>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</si>
  <si>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</si>
  <si>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</si>
  <si>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</si>
  <si>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</si>
  <si>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</si>
  <si>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</si>
  <si>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</si>
  <si>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</si>
  <si>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</si>
  <si>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</si>
  <si>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</si>
  <si>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</si>
  <si>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</si>
  <si>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</si>
  <si>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</si>
  <si>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</si>
  <si>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</si>
  <si>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</si>
  <si>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</si>
  <si>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</si>
  <si>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</si>
  <si>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</si>
  <si>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</si>
  <si>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</si>
  <si>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</si>
  <si>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</si>
  <si>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</si>
  <si>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</si>
  <si>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</si>
  <si>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</si>
  <si>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</si>
  <si>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</si>
  <si>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</si>
  <si>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</si>
  <si>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</si>
  <si>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</si>
  <si>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</si>
  <si>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</si>
  <si>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</si>
  <si>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</si>
  <si>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</si>
  <si>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</si>
  <si>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</si>
  <si>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</si>
  <si>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</si>
  <si>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</si>
  <si>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</si>
  <si>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</si>
  <si>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</si>
  <si>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</si>
  <si>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</si>
  <si>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</si>
  <si>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</si>
  <si>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</si>
  <si>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</si>
  <si>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</si>
  <si>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</si>
  <si>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</si>
  <si>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</si>
  <si>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</si>
  <si>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</si>
  <si>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</si>
  <si>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</si>
  <si>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</si>
  <si>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</si>
  <si>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</si>
  <si>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</si>
  <si>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</si>
  <si>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</si>
  <si>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</si>
  <si>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</si>
  <si>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</si>
  <si>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</si>
  <si>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</si>
  <si>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</si>
  <si>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</si>
  <si>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</si>
  <si>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</si>
  <si>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</si>
  <si>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</si>
  <si>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</si>
  <si>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</si>
  <si>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</si>
  <si>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</si>
  <si>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</si>
  <si>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</si>
  <si>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</si>
  <si>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</si>
  <si>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</si>
  <si>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</si>
  <si>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</si>
  <si>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</si>
  <si>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</si>
  <si>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</si>
  <si>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</si>
  <si>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</si>
  <si>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</si>
  <si>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</si>
  <si>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</si>
  <si>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</si>
  <si>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</si>
  <si>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</si>
  <si>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</si>
  <si>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</si>
  <si>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</si>
  <si>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</si>
  <si>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</si>
  <si>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</si>
  <si>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</si>
  <si>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</si>
  <si>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</si>
  <si>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</si>
  <si>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</si>
  <si>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</si>
  <si>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</si>
  <si>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</si>
  <si>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</si>
  <si>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</si>
  <si>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</si>
  <si>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</si>
  <si>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</si>
  <si>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</si>
  <si>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</si>
  <si>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</si>
  <si>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</si>
  <si>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</si>
  <si>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</si>
  <si>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</si>
  <si>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</si>
  <si>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</si>
  <si>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</si>
  <si>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</si>
  <si>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</si>
  <si>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</si>
  <si>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</si>
  <si>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</si>
  <si>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</si>
  <si>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</si>
  <si>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</si>
  <si>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</si>
  <si>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</si>
  <si>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</si>
  <si>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</si>
  <si>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</si>
  <si>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</si>
  <si>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</si>
  <si>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</si>
  <si>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</si>
  <si>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</si>
  <si>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</si>
  <si>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</si>
  <si>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</si>
  <si>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</si>
  <si>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</si>
  <si>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</si>
  <si>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</si>
  <si>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</si>
  <si>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</si>
  <si>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</si>
  <si>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</si>
  <si>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</si>
  <si>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</si>
  <si>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</si>
  <si>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</si>
  <si>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</si>
  <si>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</si>
  <si>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</si>
  <si>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</si>
  <si>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</si>
  <si>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</si>
  <si>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</si>
  <si>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</si>
  <si>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</si>
  <si>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</si>
  <si>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</si>
  <si>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</si>
  <si>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</si>
  <si>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</si>
  <si>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</si>
  <si>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</si>
  <si>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</si>
  <si>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</si>
  <si>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</si>
  <si>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</si>
  <si>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</si>
  <si>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</si>
  <si>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</si>
  <si>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</si>
  <si>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</si>
  <si>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</si>
  <si>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</si>
  <si>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</si>
  <si>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</si>
  <si>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</si>
  <si>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</si>
  <si>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</si>
  <si>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</si>
  <si>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</si>
  <si>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</si>
  <si>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</si>
  <si>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</si>
  <si>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</si>
  <si>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</si>
  <si>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</si>
  <si>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</si>
  <si>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</si>
  <si>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</si>
  <si>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</si>
  <si>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</si>
  <si>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</si>
  <si>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</si>
  <si>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</si>
  <si>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</si>
  <si>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</si>
  <si>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</si>
  <si>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</si>
  <si>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</si>
  <si>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</si>
  <si>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</si>
  <si>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</si>
  <si>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</si>
  <si>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</si>
  <si>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</si>
  <si>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</si>
  <si>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</si>
  <si>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</si>
  <si>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</si>
  <si>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</si>
  <si>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</si>
  <si>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</si>
  <si>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</si>
  <si>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</si>
  <si>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</si>
  <si>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</si>
  <si>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</si>
  <si>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</si>
  <si>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</si>
  <si>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</si>
  <si>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</si>
  <si>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</si>
  <si>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</si>
  <si>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</si>
  <si>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</si>
  <si>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</si>
  <si>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</si>
  <si>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</si>
  <si>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</si>
  <si>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</si>
  <si>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</si>
  <si>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</si>
  <si>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</si>
  <si>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</si>
  <si>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</si>
  <si>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</si>
  <si>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</si>
  <si>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</si>
  <si>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</si>
  <si>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</si>
  <si>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</si>
  <si>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</si>
  <si>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</si>
  <si>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</si>
  <si>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</si>
  <si>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</si>
  <si>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</si>
  <si>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</si>
  <si>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</si>
  <si>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</si>
  <si>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</si>
  <si>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</si>
  <si>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</si>
  <si>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</si>
  <si>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</si>
  <si>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</si>
  <si>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</si>
  <si>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</si>
  <si>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</si>
  <si>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</si>
  <si>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</si>
  <si>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</si>
  <si>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</si>
  <si>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</si>
  <si>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</si>
  <si>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</si>
  <si>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</si>
  <si>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</si>
  <si>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</si>
  <si>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</si>
  <si>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</si>
  <si>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</si>
  <si>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</si>
  <si>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</si>
  <si>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</si>
  <si>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</si>
  <si>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</si>
  <si>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</si>
  <si>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</si>
  <si>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</si>
  <si>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</si>
  <si>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</si>
  <si>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</si>
  <si>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</si>
  <si>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</si>
  <si>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</si>
  <si>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</si>
  <si>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</si>
  <si>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</si>
  <si>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</si>
  <si>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</si>
  <si>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</si>
  <si>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</si>
  <si>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</si>
  <si>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</si>
  <si>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</si>
  <si>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</si>
  <si>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</si>
  <si>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</si>
  <si>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</si>
  <si>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</si>
  <si>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</si>
  <si>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</si>
  <si>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</si>
  <si>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</si>
  <si>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</si>
  <si>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</si>
  <si>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</si>
  <si>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</si>
  <si>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</si>
  <si>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</si>
  <si>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</si>
  <si>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</si>
  <si>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</si>
  <si>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</si>
  <si>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</si>
  <si>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</si>
  <si>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</si>
  <si>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</si>
  <si>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</si>
  <si>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</si>
  <si>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</si>
  <si>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</si>
  <si>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</si>
  <si>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</si>
  <si>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</si>
  <si>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</si>
  <si>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</si>
  <si>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</si>
  <si>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</si>
  <si>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</si>
  <si>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</si>
  <si>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</si>
  <si>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</si>
  <si>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</si>
  <si>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</si>
  <si>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</si>
  <si>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</si>
  <si>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</si>
  <si>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</si>
  <si>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</si>
  <si>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</si>
  <si>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</si>
  <si>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</si>
  <si>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</si>
  <si>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</si>
  <si>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</si>
  <si>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</si>
  <si>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</si>
  <si>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</si>
  <si>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</si>
  <si>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</si>
  <si>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</si>
  <si>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</si>
  <si>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</si>
  <si>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</si>
  <si>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</si>
  <si>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</si>
  <si>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</si>
  <si>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</si>
  <si>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</si>
  <si>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</si>
  <si>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</si>
  <si>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</si>
  <si>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</si>
  <si>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</si>
  <si>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</si>
  <si>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</si>
  <si>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</si>
  <si>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</si>
  <si>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</si>
  <si>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</si>
  <si>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</si>
  <si>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</si>
  <si>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</si>
  <si>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</si>
  <si>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</si>
  <si>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</si>
  <si>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</si>
  <si>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</si>
  <si>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</si>
  <si>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</si>
  <si>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</si>
  <si>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</si>
  <si>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</si>
  <si>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</si>
  <si>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</si>
  <si>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</si>
  <si>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</si>
  <si>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</si>
  <si>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</si>
  <si>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</si>
  <si>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</si>
  <si>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</si>
  <si>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</si>
  <si>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</si>
  <si>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</si>
  <si>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</si>
  <si>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</si>
  <si>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</si>
  <si>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</si>
  <si>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</si>
  <si>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</si>
  <si>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</si>
  <si>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</si>
  <si>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</si>
  <si>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</si>
  <si>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</si>
  <si>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</si>
  <si>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</si>
  <si>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</si>
  <si>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</si>
  <si>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</si>
  <si>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</si>
  <si>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</si>
  <si>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</si>
  <si>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</si>
  <si>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</si>
  <si>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</si>
  <si>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</si>
  <si>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</si>
  <si>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</si>
  <si>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</si>
  <si>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</si>
  <si>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</si>
  <si>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</si>
  <si>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</si>
  <si>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</si>
  <si>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</si>
  <si>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</si>
  <si>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</si>
  <si>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</si>
  <si>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</si>
  <si>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</si>
  <si>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</si>
  <si>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</si>
  <si>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</si>
  <si>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</si>
  <si>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</si>
  <si>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</si>
  <si>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</si>
  <si>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</si>
  <si>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</si>
  <si>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</si>
  <si>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</si>
  <si>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</si>
  <si>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</si>
  <si>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</si>
  <si>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</si>
  <si>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</si>
  <si>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</si>
  <si>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</si>
  <si>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</si>
  <si>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</si>
  <si>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</si>
  <si>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</si>
  <si>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</si>
  <si>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</si>
  <si>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</si>
  <si>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</si>
  <si>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</si>
  <si>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</si>
  <si>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</si>
  <si>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</si>
  <si>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</si>
  <si>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</si>
  <si>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</si>
  <si>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</si>
  <si>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</si>
  <si>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</si>
  <si>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</si>
  <si>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</si>
  <si>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</si>
  <si>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</si>
  <si>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</si>
  <si>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</si>
  <si>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</si>
  <si>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</si>
  <si>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</si>
  <si>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</si>
  <si>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</si>
  <si>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</si>
  <si>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</si>
  <si>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</si>
  <si>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</si>
  <si>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</si>
  <si>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</si>
  <si>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</si>
  <si>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</si>
  <si>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</si>
  <si>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</si>
  <si>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</si>
  <si>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</si>
  <si>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</si>
  <si>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</si>
  <si>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</si>
  <si>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</si>
  <si>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</si>
  <si>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</si>
  <si>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</si>
  <si>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</si>
  <si>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</si>
  <si>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</si>
  <si>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</si>
  <si>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</si>
  <si>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</si>
  <si>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</si>
  <si>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</si>
  <si>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</si>
  <si>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</si>
  <si>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</si>
  <si>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</si>
  <si>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</si>
  <si>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</si>
  <si>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</si>
  <si>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</si>
  <si>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</si>
  <si>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</si>
  <si>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</si>
  <si>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</si>
  <si>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</si>
  <si>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</si>
  <si>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</si>
  <si>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</si>
  <si>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</si>
  <si>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</si>
  <si>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</si>
  <si>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</si>
  <si>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</si>
  <si>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</si>
  <si>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</si>
  <si>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</si>
  <si>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</si>
  <si>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</si>
  <si>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</si>
  <si>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</si>
  <si>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</si>
  <si>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</si>
  <si>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</si>
  <si>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</si>
  <si>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</si>
  <si>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</si>
  <si>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</si>
  <si>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</si>
  <si>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</si>
  <si>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</si>
  <si>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</si>
  <si>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</si>
  <si>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</si>
  <si>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</si>
  <si>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</si>
  <si>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</si>
  <si>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</si>
  <si>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</si>
  <si>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</si>
  <si>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</si>
  <si>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</si>
  <si>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</si>
  <si>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</si>
  <si>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</si>
  <si>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</si>
  <si>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</si>
  <si>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</si>
  <si>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</si>
  <si>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</si>
  <si>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</si>
  <si>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</si>
  <si>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</si>
  <si>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</si>
  <si>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</si>
  <si>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</si>
  <si>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</si>
  <si>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</si>
  <si>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</si>
  <si>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</si>
  <si>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</si>
  <si>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</si>
  <si>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</si>
  <si>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</si>
  <si>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</si>
  <si>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</si>
  <si>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</si>
  <si>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</si>
  <si>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</si>
  <si>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</si>
  <si>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</si>
  <si>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</si>
  <si>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</si>
  <si>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</si>
  <si>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</si>
  <si>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</si>
  <si>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</si>
  <si>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</si>
  <si>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</si>
  <si>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</si>
  <si>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</si>
  <si>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</si>
  <si>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</si>
  <si>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</si>
  <si>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</si>
  <si>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</si>
  <si>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</si>
  <si>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</si>
  <si>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</si>
  <si>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</si>
  <si>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</si>
  <si>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</si>
  <si>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</si>
  <si>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</si>
  <si>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</si>
  <si>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</si>
  <si>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</si>
  <si>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</si>
  <si>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</si>
  <si>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</si>
  <si>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</si>
  <si>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</si>
  <si>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</si>
  <si>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</si>
  <si>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</si>
  <si>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</si>
  <si>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</si>
  <si>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</si>
  <si>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</si>
  <si>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</si>
  <si>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</si>
  <si>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</si>
  <si>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</si>
  <si>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</si>
  <si>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</si>
  <si>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</si>
  <si>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</si>
  <si>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</si>
  <si>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</si>
  <si>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</si>
  <si>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</si>
  <si>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</si>
  <si>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</si>
  <si>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</si>
  <si>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</si>
  <si>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</si>
  <si>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</si>
  <si>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</si>
  <si>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</si>
  <si>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</si>
  <si>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</si>
  <si>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</si>
  <si>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</si>
  <si>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</si>
  <si>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</si>
  <si>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</si>
  <si>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</si>
  <si>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</si>
  <si>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</si>
  <si>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</si>
  <si>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</si>
  <si>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</si>
  <si>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</si>
  <si>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</si>
  <si>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</si>
  <si>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</si>
  <si>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</si>
  <si>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</si>
  <si>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</si>
  <si>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</si>
  <si>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</si>
  <si>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</si>
  <si>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</si>
  <si>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</si>
  <si>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</si>
  <si>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</si>
  <si>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</si>
  <si>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</si>
  <si>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</si>
  <si>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</si>
  <si>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</si>
  <si>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</si>
  <si>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</si>
  <si>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</si>
  <si>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</si>
  <si>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</si>
  <si>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</si>
  <si>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</si>
  <si>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</si>
  <si>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</si>
  <si>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</si>
  <si>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</si>
  <si>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</si>
  <si>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</si>
  <si>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</si>
  <si>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</si>
  <si>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</si>
  <si>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</si>
  <si>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</si>
  <si>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</si>
  <si>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</si>
  <si>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</si>
  <si>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</si>
  <si>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</si>
  <si>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</si>
  <si>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</si>
  <si>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</si>
  <si>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</si>
  <si>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</si>
  <si>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</si>
  <si>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</si>
  <si>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</si>
  <si>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</si>
  <si>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</si>
  <si>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</si>
  <si>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</si>
  <si>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</si>
  <si>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</si>
  <si>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</si>
  <si>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</si>
  <si>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</si>
  <si>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</si>
  <si>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</si>
  <si>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</si>
  <si>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</si>
  <si>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</si>
  <si>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</si>
  <si>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</si>
  <si>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</si>
  <si>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</si>
  <si>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</si>
  <si>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</si>
  <si>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</si>
  <si>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</si>
  <si>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</si>
  <si>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</si>
  <si>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</si>
  <si>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</si>
  <si>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</si>
  <si>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</si>
  <si>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</si>
  <si>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</si>
  <si>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</si>
  <si>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</si>
  <si>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</si>
  <si>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</si>
  <si>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</si>
  <si>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</si>
  <si>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</si>
  <si>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</si>
  <si>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</si>
  <si>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</si>
  <si>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</si>
  <si>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</si>
  <si>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</si>
  <si>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</si>
  <si>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</si>
  <si>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</si>
  <si>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</si>
  <si>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</si>
  <si>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</si>
  <si>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</si>
  <si>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</si>
  <si>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</si>
  <si>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</si>
  <si>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</si>
  <si>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</si>
  <si>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</si>
  <si>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</si>
  <si>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</si>
  <si>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</si>
  <si>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</si>
  <si>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</si>
  <si>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</si>
  <si>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</si>
  <si>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</si>
  <si>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</si>
  <si>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</si>
  <si>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</si>
  <si>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</si>
  <si>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</si>
  <si>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</si>
  <si>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</si>
  <si>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</si>
  <si>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</si>
  <si>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</si>
  <si>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</si>
  <si>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</si>
  <si>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</si>
  <si>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</si>
  <si>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</si>
  <si>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</si>
  <si>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</si>
  <si>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</si>
  <si>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</si>
  <si>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</si>
  <si>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</si>
  <si>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</si>
  <si>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</si>
  <si>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</si>
  <si>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</si>
  <si>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</si>
  <si>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</si>
  <si>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</si>
  <si>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</si>
  <si>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</si>
  <si>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</si>
  <si>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</si>
  <si>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</si>
  <si>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</si>
  <si>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</si>
  <si>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</si>
  <si>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</si>
  <si>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</si>
  <si>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</si>
  <si>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</si>
  <si>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</si>
  <si>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</si>
  <si>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</si>
  <si>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</si>
  <si>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</si>
  <si>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</si>
  <si>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</si>
  <si>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</si>
  <si>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</si>
  <si>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</si>
  <si>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</si>
  <si>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</si>
  <si>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</si>
  <si>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</si>
  <si>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</si>
  <si>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</si>
  <si>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</si>
  <si>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</si>
  <si>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</si>
  <si>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</si>
  <si>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</si>
  <si>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</si>
  <si>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</si>
  <si>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</si>
  <si>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</si>
  <si>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</si>
  <si>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</si>
  <si>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</si>
  <si>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</si>
  <si>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</si>
  <si>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</si>
  <si>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</si>
  <si>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</si>
  <si>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</si>
  <si>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</si>
  <si>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</si>
  <si>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</si>
  <si>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</si>
  <si>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</si>
  <si>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</si>
  <si>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</si>
  <si>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</si>
  <si>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</si>
  <si>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</si>
  <si>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</si>
  <si>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</si>
  <si>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</si>
  <si>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</si>
  <si>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</si>
  <si>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</si>
  <si>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</si>
  <si>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</si>
  <si>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</si>
  <si>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</si>
  <si>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</si>
  <si>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</si>
  <si>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</si>
  <si>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</si>
  <si>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</si>
  <si>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</si>
  <si>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</si>
  <si>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</si>
  <si>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</si>
  <si>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</si>
  <si>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</si>
  <si>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</si>
  <si>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</si>
  <si>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</si>
  <si>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</si>
  <si>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</si>
  <si>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</si>
  <si>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</si>
  <si>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</si>
  <si>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</si>
  <si>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</si>
  <si>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</si>
  <si>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</si>
  <si>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</si>
  <si>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</si>
  <si>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</si>
  <si>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</si>
  <si>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</si>
  <si>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</si>
  <si>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</si>
  <si>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</si>
  <si>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</si>
  <si>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</si>
  <si>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</si>
  <si>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</si>
  <si>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</si>
  <si>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</si>
  <si>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</si>
  <si>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</si>
  <si>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</si>
  <si>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</si>
  <si>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</si>
  <si>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</si>
  <si>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</si>
  <si>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</si>
  <si>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</si>
  <si>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</si>
  <si>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</si>
  <si>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</si>
  <si>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</si>
  <si>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</si>
  <si>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</si>
  <si>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</si>
  <si>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</si>
  <si>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</si>
  <si>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</si>
  <si>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</si>
  <si>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</si>
  <si>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</si>
  <si>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</si>
  <si>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</si>
  <si>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</si>
  <si>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</si>
  <si>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</si>
  <si>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</si>
  <si>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</si>
  <si>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</si>
  <si>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</si>
  <si>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</si>
  <si>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</si>
  <si>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</si>
  <si>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</si>
  <si>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</si>
  <si>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</si>
  <si>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</si>
  <si>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</si>
  <si>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</si>
  <si>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</si>
  <si>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</si>
  <si>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</si>
  <si>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</si>
  <si>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</si>
  <si>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</si>
  <si>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</si>
  <si>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</si>
  <si>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</si>
  <si>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</si>
  <si>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</si>
  <si>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</si>
  <si>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</si>
  <si>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</si>
  <si>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</si>
  <si>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</si>
  <si>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</si>
  <si>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</si>
  <si>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</si>
  <si>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</si>
  <si>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</si>
  <si>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</si>
  <si>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</si>
  <si>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</si>
  <si>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</si>
  <si>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</si>
  <si>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</si>
  <si>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</si>
  <si>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</si>
  <si>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</si>
  <si>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</si>
  <si>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</si>
  <si>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</si>
  <si>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</si>
  <si>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</si>
  <si>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</si>
  <si>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</si>
  <si>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</si>
  <si>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</si>
  <si>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</si>
  <si>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</si>
  <si>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</si>
  <si>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</si>
  <si>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</si>
  <si>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</si>
  <si>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</si>
  <si>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</si>
  <si>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</si>
  <si>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</si>
  <si>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</si>
  <si>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</si>
  <si>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</si>
  <si>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</si>
  <si>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</si>
  <si>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</si>
  <si>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</si>
  <si>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</si>
  <si>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</si>
  <si>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</si>
  <si>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</si>
  <si>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</si>
  <si>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</si>
  <si>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</si>
  <si>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</si>
  <si>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</si>
  <si>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</si>
  <si>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</si>
  <si>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</si>
  <si>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</si>
  <si>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</si>
  <si>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</si>
  <si>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</si>
  <si>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</si>
  <si>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</si>
  <si>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</si>
  <si>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</si>
  <si>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</si>
  <si>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</si>
  <si>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</si>
  <si>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</si>
  <si>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</si>
  <si>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</si>
  <si>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</si>
  <si>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</si>
  <si>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</si>
  <si>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</si>
  <si>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</si>
  <si>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</si>
  <si>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</si>
  <si>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</si>
  <si>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</si>
  <si>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</si>
  <si>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</si>
  <si>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</si>
  <si>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</si>
  <si>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</si>
  <si>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</si>
  <si>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</si>
  <si>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</si>
  <si>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</si>
  <si>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</si>
  <si>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</si>
  <si>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</si>
  <si>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</si>
  <si>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</si>
  <si>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</si>
  <si>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</si>
  <si>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</si>
  <si>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</si>
  <si>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</si>
  <si>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</si>
  <si>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</si>
  <si>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</si>
  <si>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</si>
  <si>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</si>
  <si>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</si>
  <si>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</si>
  <si>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</si>
  <si>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</si>
  <si>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</si>
  <si>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</si>
  <si>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</si>
  <si>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</si>
  <si>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</si>
  <si>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</si>
  <si>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</si>
  <si>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</si>
  <si>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</si>
  <si>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</si>
  <si>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</si>
  <si>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</si>
  <si>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</si>
  <si>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</si>
  <si>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</si>
  <si>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</si>
  <si>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</si>
  <si>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</si>
  <si>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</si>
  <si>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</si>
  <si>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</si>
  <si>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</si>
  <si>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</si>
  <si>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</si>
  <si>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</si>
  <si>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</si>
  <si>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</si>
  <si>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</si>
  <si>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</si>
  <si>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</si>
  <si>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</si>
  <si>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</si>
  <si>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</si>
  <si>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</si>
  <si>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</si>
  <si>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</si>
  <si>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</si>
  <si>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</si>
  <si>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</si>
  <si>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</si>
  <si>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</si>
  <si>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</si>
  <si>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</si>
  <si>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</si>
  <si>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</si>
  <si>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</si>
  <si>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</si>
  <si>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</si>
  <si>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</si>
  <si>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</si>
  <si>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</si>
  <si>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</si>
  <si>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</si>
  <si>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</si>
  <si>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</si>
  <si>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</si>
  <si>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</si>
  <si>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</si>
  <si>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</si>
  <si>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</si>
  <si>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</si>
  <si>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</si>
  <si>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</si>
  <si>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</si>
  <si>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</si>
  <si>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</si>
  <si>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</si>
  <si>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</si>
  <si>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</si>
  <si>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</si>
  <si>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</si>
  <si>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</si>
  <si>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</si>
  <si>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</si>
  <si>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</si>
  <si>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</si>
  <si>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</si>
  <si>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</si>
  <si>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</si>
  <si>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</si>
  <si>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</si>
  <si>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</si>
  <si>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</si>
  <si>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</si>
  <si>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</si>
  <si>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</si>
  <si>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</si>
  <si>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</si>
  <si>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</si>
  <si>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</si>
  <si>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</si>
  <si>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</si>
  <si>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</si>
  <si>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</si>
  <si>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</si>
  <si>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</si>
  <si>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</si>
  <si>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</si>
  <si>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</si>
  <si>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</si>
  <si>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</si>
  <si>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</si>
  <si>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</si>
  <si>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</si>
  <si>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</si>
  <si>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</si>
  <si>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</si>
  <si>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</si>
  <si>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</si>
  <si>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</si>
  <si>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</si>
  <si>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</si>
  <si>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</si>
  <si>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</si>
  <si>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</si>
  <si>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</si>
  <si>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</si>
  <si>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</si>
  <si>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</si>
  <si>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</si>
  <si>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</si>
  <si>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</si>
  <si>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</si>
  <si>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</si>
  <si>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</si>
  <si>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</si>
  <si>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</si>
  <si>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</si>
  <si>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</si>
  <si>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</si>
  <si>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</si>
  <si>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</si>
  <si>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</si>
  <si>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</si>
  <si>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</si>
  <si>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</si>
  <si>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</si>
  <si>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</si>
  <si>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</si>
  <si>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</si>
  <si>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</si>
  <si>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</si>
  <si>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</si>
  <si>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</si>
  <si>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</si>
  <si>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</si>
  <si>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</si>
  <si>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</si>
  <si>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</si>
  <si>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</si>
  <si>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</si>
  <si>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</si>
  <si>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</si>
  <si>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</si>
  <si>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</si>
  <si>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</si>
  <si>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</si>
  <si>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</si>
  <si>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</si>
  <si>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</si>
  <si>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</si>
  <si>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</si>
  <si>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</si>
  <si>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</si>
  <si>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</si>
  <si>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</si>
  <si>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</si>
  <si>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</si>
  <si>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</si>
  <si>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</si>
  <si>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</si>
  <si>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</si>
  <si>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</si>
  <si>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</si>
  <si>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</si>
  <si>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</si>
  <si>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</si>
  <si>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</si>
  <si>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</si>
  <si>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</si>
  <si>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</si>
  <si>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</si>
  <si>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</si>
  <si>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</si>
  <si>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</si>
  <si>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</si>
  <si>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</si>
  <si>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</si>
  <si>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</si>
  <si>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</si>
  <si>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</si>
  <si>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</si>
  <si>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</si>
  <si>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</si>
  <si>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</si>
  <si>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</si>
  <si>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</si>
  <si>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</si>
  <si>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</si>
  <si>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</si>
  <si>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</si>
  <si>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</si>
  <si>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</si>
  <si>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</si>
  <si>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</si>
  <si>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</si>
  <si>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</si>
  <si>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</si>
  <si>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</si>
  <si>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</si>
  <si>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</si>
  <si>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</si>
  <si>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</si>
  <si>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</si>
  <si>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</si>
  <si>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</si>
  <si>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</si>
  <si>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</si>
  <si>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</si>
  <si>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</si>
  <si>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</si>
  <si>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</si>
  <si>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</si>
  <si>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</si>
  <si>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</si>
  <si>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</si>
  <si>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</si>
  <si>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</si>
  <si>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</si>
  <si>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</si>
  <si>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</si>
  <si>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</si>
  <si>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</si>
  <si>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</si>
  <si>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</si>
  <si>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</si>
  <si>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</si>
  <si>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</si>
  <si>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</si>
  <si>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</si>
  <si>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</si>
  <si>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</si>
  <si>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</si>
  <si>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</si>
  <si>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</si>
  <si>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</si>
  <si>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</si>
  <si>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</si>
  <si>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</si>
  <si>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</si>
  <si>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</si>
  <si>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</si>
  <si>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</si>
  <si>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</si>
  <si>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</si>
  <si>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</si>
  <si>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</si>
  <si>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</si>
  <si>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</si>
  <si>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</si>
  <si>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</si>
  <si>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</si>
  <si>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</si>
  <si>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</si>
  <si>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</si>
  <si>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</si>
  <si>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</si>
  <si>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</si>
  <si>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</si>
  <si>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</si>
  <si>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</si>
  <si>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</si>
  <si>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</si>
  <si>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</si>
  <si>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</si>
  <si>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</si>
  <si>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</si>
  <si>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</si>
  <si>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</si>
  <si>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</si>
  <si>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</si>
  <si>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</si>
  <si>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</si>
  <si>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</si>
  <si>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</si>
  <si>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</si>
  <si>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</si>
  <si>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</si>
  <si>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</si>
  <si>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</si>
  <si>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</si>
  <si>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</si>
  <si>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</si>
  <si>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</si>
  <si>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</si>
  <si>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</si>
  <si>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</si>
  <si>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</si>
  <si>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</si>
  <si>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</si>
  <si>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</si>
  <si>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</si>
  <si>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</si>
  <si>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</si>
  <si>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</si>
  <si>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</si>
  <si>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</si>
  <si>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</si>
  <si>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</si>
  <si>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</si>
  <si>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</si>
  <si>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</si>
  <si>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</si>
  <si>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</si>
  <si>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</si>
  <si>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</si>
  <si>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</si>
  <si>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</si>
  <si>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</si>
  <si>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</si>
  <si>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</si>
  <si>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</si>
  <si>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</si>
  <si>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</si>
  <si>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</si>
  <si>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</si>
  <si>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</si>
  <si>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</si>
  <si>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</si>
  <si>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</si>
  <si>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</si>
  <si>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</si>
  <si>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</si>
  <si>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</si>
  <si>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</si>
  <si>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</si>
  <si>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</si>
  <si>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</si>
  <si>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</si>
  <si>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</si>
  <si>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</si>
  <si>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</si>
  <si>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</si>
  <si>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</si>
  <si>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</si>
  <si>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</si>
  <si>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</si>
  <si>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</si>
  <si>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</si>
  <si>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</si>
  <si>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</si>
  <si>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</si>
  <si>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</si>
  <si>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</si>
  <si>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</si>
  <si>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</si>
  <si>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</si>
  <si>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</si>
  <si>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</si>
  <si>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</si>
  <si>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</si>
  <si>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</si>
  <si>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</si>
  <si>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</si>
  <si>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</si>
  <si>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</si>
  <si>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</si>
  <si>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</si>
  <si>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</si>
  <si>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</si>
  <si>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</si>
  <si>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</si>
  <si>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</si>
  <si>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</si>
  <si>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</si>
  <si>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</si>
  <si>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</si>
  <si>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</si>
  <si>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</si>
  <si>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</si>
  <si>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</si>
  <si>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</si>
  <si>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</si>
  <si>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</si>
  <si>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</si>
  <si>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</si>
  <si>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</si>
  <si>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</si>
  <si>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</si>
  <si>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</si>
  <si>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</si>
  <si>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</si>
  <si>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</si>
  <si>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</si>
  <si>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</si>
  <si>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</si>
  <si>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</si>
  <si>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</si>
  <si>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</si>
  <si>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</si>
  <si>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</si>
  <si>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</si>
  <si>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</si>
  <si>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</si>
  <si>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</si>
  <si>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</si>
  <si>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</si>
  <si>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</si>
  <si>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</si>
  <si>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</si>
  <si>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</si>
  <si>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</si>
  <si>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</si>
  <si>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</si>
  <si>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</si>
  <si>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</si>
  <si>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</si>
  <si>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</si>
  <si>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</si>
  <si>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</si>
  <si>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</si>
  <si>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</si>
  <si>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</si>
  <si>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</si>
  <si>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</si>
  <si>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</si>
  <si>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</si>
  <si>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</si>
  <si>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</si>
  <si>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</si>
  <si>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</si>
  <si>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</si>
  <si>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</si>
  <si>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</si>
  <si>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</si>
  <si>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</si>
  <si>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</si>
  <si>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</si>
  <si>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</si>
  <si>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</si>
  <si>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</si>
  <si>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</si>
  <si>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</si>
  <si>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</si>
  <si>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</si>
  <si>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</si>
  <si>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</si>
  <si>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</si>
  <si>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</si>
  <si>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</si>
  <si>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</si>
  <si>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</si>
  <si>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</si>
  <si>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</si>
  <si>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</si>
  <si>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</si>
  <si>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</si>
  <si>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</si>
  <si>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</si>
  <si>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</si>
  <si>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</si>
  <si>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</si>
  <si>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</si>
  <si>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</si>
  <si>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</si>
  <si>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</si>
  <si>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</si>
  <si>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</si>
  <si>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</si>
  <si>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</si>
  <si>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</si>
  <si>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</si>
  <si>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</si>
  <si>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</si>
  <si>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</si>
  <si>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</si>
  <si>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</si>
  <si>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</si>
  <si>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</si>
  <si>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</si>
  <si>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</si>
  <si>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</si>
  <si>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</si>
  <si>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</si>
  <si>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</si>
  <si>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</si>
  <si>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</si>
  <si>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</si>
  <si>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</si>
  <si>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</si>
  <si>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</si>
  <si>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</si>
  <si>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</si>
  <si>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</si>
  <si>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</si>
  <si>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</si>
  <si>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</si>
  <si>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</si>
  <si>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</si>
  <si>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</si>
  <si>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</si>
  <si>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</si>
  <si>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</si>
  <si>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</si>
  <si>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</si>
  <si>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</si>
  <si>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</si>
  <si>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</si>
  <si>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</si>
  <si>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</si>
  <si>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</si>
  <si>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</si>
  <si>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</si>
  <si>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</si>
  <si>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</si>
  <si>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</si>
  <si>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</si>
  <si>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</si>
  <si>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</si>
  <si>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</si>
  <si>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</si>
  <si>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</si>
  <si>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</si>
  <si>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</si>
  <si>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</si>
  <si>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</si>
  <si>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</si>
  <si>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</si>
  <si>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</si>
  <si>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</si>
  <si>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</si>
  <si>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</si>
  <si>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</si>
  <si>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</si>
  <si>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</si>
  <si>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</si>
  <si>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</si>
  <si>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</si>
  <si>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</si>
  <si>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</si>
  <si>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</si>
  <si>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</si>
  <si>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</si>
  <si>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</si>
  <si>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</si>
  <si>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</si>
  <si>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</si>
  <si>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</si>
  <si>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</si>
  <si>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</si>
  <si>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</si>
  <si>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</si>
  <si>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</si>
  <si>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</si>
  <si>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</si>
  <si>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</si>
  <si>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</si>
  <si>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</si>
  <si>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</si>
  <si>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</si>
  <si>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</si>
  <si>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</si>
  <si>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</si>
  <si>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</si>
  <si>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</si>
  <si>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</si>
  <si>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</si>
  <si>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</si>
  <si>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</si>
  <si>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</si>
  <si>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</si>
  <si>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</si>
  <si>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</si>
  <si>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</si>
  <si>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</si>
  <si>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</si>
  <si>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</si>
  <si>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</si>
  <si>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</si>
  <si>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</si>
  <si>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</si>
  <si>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</si>
  <si>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</si>
  <si>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</si>
  <si>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</si>
  <si>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</si>
  <si>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</si>
  <si>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</si>
  <si>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</si>
  <si>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</si>
  <si>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</si>
  <si>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</si>
  <si>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</si>
  <si>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</si>
  <si>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</si>
  <si>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</si>
  <si>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</si>
  <si>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</si>
  <si>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</si>
  <si>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</si>
  <si>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</si>
  <si>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</si>
  <si>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</si>
  <si>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</si>
  <si>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</si>
  <si>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</si>
  <si>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</si>
  <si>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</si>
  <si>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</si>
  <si>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</si>
  <si>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</si>
  <si>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</si>
  <si>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</si>
  <si>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</si>
  <si>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</si>
  <si>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</si>
  <si>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</si>
  <si>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</si>
  <si>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</si>
  <si>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</si>
  <si>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</si>
  <si>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</si>
  <si>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</si>
  <si>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</si>
  <si>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</si>
  <si>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</si>
  <si>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</si>
  <si>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</si>
  <si>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</si>
  <si>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</si>
  <si>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</si>
  <si>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</si>
  <si>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</si>
  <si>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</si>
  <si>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</si>
  <si>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</si>
  <si>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</si>
  <si>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</si>
  <si>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</si>
  <si>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</si>
  <si>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</si>
  <si>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</si>
  <si>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</si>
  <si>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</si>
  <si>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</si>
  <si>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</si>
  <si>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</si>
  <si>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</si>
  <si>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</si>
  <si>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</si>
  <si>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</si>
  <si>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</si>
  <si>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</si>
  <si>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</si>
  <si>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</si>
  <si>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</si>
  <si>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</si>
  <si>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</si>
  <si>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</si>
  <si>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</si>
  <si>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</si>
  <si>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</si>
  <si>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</si>
  <si>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</si>
  <si>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</si>
  <si>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</si>
  <si>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</si>
  <si>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</si>
  <si>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</si>
  <si>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</si>
  <si>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</si>
  <si>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</si>
  <si>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</si>
  <si>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</si>
  <si>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</si>
  <si>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</si>
  <si>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</si>
  <si>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</si>
  <si>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</si>
  <si>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</si>
  <si>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</si>
  <si>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</si>
  <si>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</si>
  <si>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</si>
  <si>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</si>
  <si>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</si>
  <si>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</si>
  <si>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</si>
  <si>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</si>
  <si>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</si>
  <si>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</si>
  <si>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</si>
  <si>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</si>
  <si>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</si>
  <si>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</si>
  <si>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</si>
  <si>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</si>
  <si>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</si>
  <si>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</si>
  <si>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</si>
  <si>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</si>
  <si>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</si>
  <si>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</si>
  <si>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</si>
  <si>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</si>
  <si>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</si>
  <si>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</si>
  <si>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</si>
  <si>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</si>
  <si>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</si>
  <si>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</si>
  <si>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</si>
  <si>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</si>
  <si>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</si>
  <si>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</si>
  <si>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</si>
  <si>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</si>
  <si>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</si>
  <si>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</si>
  <si>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</si>
  <si>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</si>
  <si>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</si>
  <si>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</si>
  <si>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</si>
  <si>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</si>
  <si>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</si>
  <si>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</si>
  <si>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</si>
  <si>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</si>
  <si>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</si>
  <si>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</si>
  <si>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</si>
  <si>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</si>
  <si>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</si>
  <si>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</si>
  <si>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</si>
  <si>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</si>
  <si>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</si>
  <si>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</si>
  <si>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</si>
  <si>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</si>
  <si>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</si>
  <si>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</si>
  <si>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</si>
  <si>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</si>
  <si>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</si>
  <si>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</si>
  <si>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</si>
  <si>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</si>
  <si>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</si>
  <si>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</si>
  <si>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</si>
  <si>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</si>
  <si>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</si>
  <si>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</si>
  <si>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</si>
  <si>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</si>
  <si>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</si>
  <si>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</si>
  <si>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</si>
  <si>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</si>
  <si>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</si>
  <si>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</si>
  <si>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</si>
  <si>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</si>
  <si>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</si>
  <si>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</si>
  <si>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</si>
  <si>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</si>
  <si>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</si>
  <si>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</si>
  <si>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</si>
  <si>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</si>
  <si>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</si>
  <si>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</si>
  <si>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</si>
  <si>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</si>
  <si>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</si>
  <si>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</si>
  <si>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</si>
  <si>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</si>
  <si>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</si>
  <si>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</si>
  <si>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</si>
  <si>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</si>
  <si>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</si>
  <si>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</si>
  <si>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</si>
  <si>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</si>
  <si>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</si>
  <si>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</si>
  <si>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</si>
  <si>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</si>
  <si>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</si>
  <si>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</si>
  <si>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</si>
  <si>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</si>
  <si>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</si>
  <si>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</si>
  <si>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</si>
  <si>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</si>
  <si>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</si>
  <si>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</si>
  <si>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</si>
  <si>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</si>
  <si>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</si>
  <si>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</si>
  <si>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</si>
  <si>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</si>
  <si>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</si>
  <si>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</si>
  <si>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</si>
  <si>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</si>
  <si>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</si>
  <si>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</si>
  <si>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</si>
  <si>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</si>
  <si>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</si>
  <si>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</si>
  <si>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</si>
  <si>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</si>
  <si>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</si>
  <si>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</si>
  <si>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</si>
  <si>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</si>
  <si>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</si>
  <si>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</si>
  <si>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</si>
  <si>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</si>
  <si>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</si>
  <si>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</si>
  <si>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</si>
  <si>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</si>
  <si>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</si>
  <si>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</si>
  <si>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</si>
  <si>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</si>
  <si>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</si>
  <si>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</si>
  <si>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</si>
  <si>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</si>
  <si>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</si>
  <si>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</si>
  <si>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</si>
  <si>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</si>
  <si>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</si>
  <si>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</si>
  <si>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</si>
  <si>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</si>
  <si>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</si>
  <si>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</si>
  <si>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</si>
  <si>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</si>
  <si>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</si>
  <si>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</si>
  <si>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</si>
  <si>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</si>
  <si>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</si>
  <si>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</si>
  <si>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</si>
  <si>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</si>
  <si>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</si>
  <si>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</si>
  <si>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</si>
  <si>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</si>
  <si>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</si>
  <si>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</si>
  <si>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</si>
  <si>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</si>
  <si>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</si>
  <si>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</si>
  <si>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</si>
  <si>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</si>
  <si>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</si>
  <si>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</si>
  <si>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</si>
  <si>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</si>
  <si>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</si>
  <si>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</si>
  <si>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</si>
  <si>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</si>
  <si>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</si>
  <si>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</si>
  <si>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</si>
  <si>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</si>
  <si>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</si>
  <si>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</si>
  <si>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</si>
  <si>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</si>
  <si>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</si>
  <si>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</si>
  <si>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</si>
  <si>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</si>
  <si>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</si>
  <si>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</si>
  <si>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</si>
  <si>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</si>
  <si>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</si>
  <si>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</si>
  <si>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</si>
  <si>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</si>
  <si>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</si>
  <si>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</si>
  <si>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</si>
  <si>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</si>
  <si>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</si>
  <si>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</si>
  <si>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</si>
  <si>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</si>
  <si>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</si>
  <si>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</si>
  <si>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</si>
  <si>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</si>
  <si>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</si>
  <si>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</si>
  <si>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</si>
  <si>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</si>
  <si>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</si>
  <si>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</si>
  <si>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</si>
  <si>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</si>
  <si>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</si>
  <si>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</si>
  <si>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</si>
  <si>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</si>
  <si>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</si>
  <si>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</si>
  <si>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</si>
  <si>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</si>
  <si>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</si>
  <si>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</si>
  <si>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</si>
  <si>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</si>
  <si>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</si>
  <si>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</si>
  <si>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</si>
  <si>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</si>
  <si>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</si>
  <si>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</si>
  <si>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</si>
  <si>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</si>
  <si>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</si>
  <si>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</si>
  <si>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</si>
  <si>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</si>
  <si>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</si>
  <si>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</si>
  <si>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</si>
  <si>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</si>
  <si>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</si>
  <si>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</si>
  <si>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</si>
  <si>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</si>
  <si>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</si>
  <si>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</si>
  <si>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</si>
  <si>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</si>
  <si>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</si>
  <si>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</si>
  <si>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</si>
  <si>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</si>
  <si>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</si>
  <si>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</si>
  <si>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</si>
  <si>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</si>
  <si>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</si>
  <si>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</si>
  <si>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</si>
  <si>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</si>
  <si>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</si>
  <si>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</si>
  <si>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</si>
  <si>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</si>
  <si>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</si>
  <si>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</si>
  <si>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</si>
  <si>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</si>
  <si>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</si>
  <si>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</si>
  <si>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</si>
  <si>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</si>
  <si>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</si>
  <si>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</si>
  <si>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</si>
  <si>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</si>
  <si>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</si>
  <si>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</si>
  <si>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</si>
  <si>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</si>
  <si>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</si>
  <si>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</si>
  <si>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</si>
  <si>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</si>
  <si>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</si>
  <si>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</si>
  <si>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</si>
  <si>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</si>
  <si>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</si>
  <si>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</si>
  <si>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</si>
  <si>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</si>
  <si>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</si>
  <si>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</si>
  <si>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</si>
  <si>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</si>
  <si>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</si>
  <si>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</si>
  <si>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</si>
  <si>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</si>
  <si>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</si>
  <si>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</si>
  <si>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</si>
  <si>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</si>
  <si>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</si>
  <si>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</si>
  <si>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</si>
  <si>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</si>
  <si>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</si>
  <si>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</si>
  <si>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</si>
  <si>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</si>
  <si>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</si>
  <si>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</si>
  <si>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</si>
  <si>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</si>
  <si>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</si>
  <si>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</si>
  <si>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</si>
  <si>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</si>
  <si>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</si>
  <si>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</si>
  <si>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</si>
  <si>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</si>
  <si>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</si>
  <si>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</si>
  <si>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</si>
  <si>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</si>
  <si>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</si>
  <si>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</si>
  <si>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</si>
  <si>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</si>
  <si>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</si>
  <si>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</si>
  <si>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</si>
  <si>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</si>
  <si>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</si>
  <si>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</si>
  <si>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</si>
  <si>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</si>
  <si>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</si>
  <si>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</si>
  <si>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</si>
  <si>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</si>
  <si>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</si>
  <si>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</si>
  <si>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</si>
  <si>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</si>
  <si>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</si>
  <si>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</si>
  <si>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</si>
  <si>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</si>
  <si>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</si>
  <si>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</si>
  <si>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</si>
  <si>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</si>
  <si>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</si>
  <si>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</si>
  <si>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</si>
  <si>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</si>
  <si>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</si>
  <si>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</si>
  <si>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</si>
  <si>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</si>
  <si>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</si>
  <si>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</si>
  <si>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</si>
  <si>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</si>
  <si>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</si>
  <si>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</si>
  <si>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</si>
  <si>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</si>
  <si>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</si>
  <si>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</si>
  <si>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</si>
  <si>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</si>
  <si>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</si>
  <si>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</si>
  <si>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</si>
  <si>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</si>
  <si>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</si>
  <si>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</si>
  <si>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</si>
  <si>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</si>
  <si>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</si>
  <si>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</si>
  <si>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</si>
  <si>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</si>
  <si>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</si>
  <si>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</si>
  <si>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</si>
  <si>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</si>
  <si>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</si>
  <si>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</si>
  <si>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</si>
  <si>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</si>
  <si>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</si>
  <si>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</si>
  <si>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</si>
  <si>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</si>
  <si>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</si>
  <si>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</si>
  <si>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</si>
  <si>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</si>
  <si>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</si>
  <si>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</si>
  <si>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</si>
  <si>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</si>
  <si>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</si>
  <si>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</si>
  <si>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</si>
  <si>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</si>
  <si>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</si>
  <si>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</si>
  <si>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</si>
  <si>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</si>
  <si>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</si>
  <si>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</si>
  <si>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</si>
  <si>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</si>
  <si>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</si>
  <si>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</si>
  <si>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</si>
  <si>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</si>
  <si>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</si>
  <si>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</si>
  <si>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</si>
  <si>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</si>
  <si>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</si>
  <si>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</si>
  <si>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</si>
  <si>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</si>
  <si>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</si>
  <si>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</si>
  <si>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</si>
  <si>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</si>
  <si>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</si>
  <si>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</si>
  <si>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</si>
  <si>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</si>
  <si>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</si>
  <si>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</si>
  <si>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</si>
  <si>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</si>
  <si>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</si>
  <si>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</si>
  <si>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</si>
  <si>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</si>
  <si>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</si>
  <si>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</si>
  <si>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</si>
  <si>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</si>
  <si>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</si>
  <si>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</si>
  <si>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</si>
  <si>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</si>
  <si>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</si>
  <si>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</si>
  <si>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</si>
  <si>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</si>
  <si>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</si>
  <si>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</si>
  <si>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</si>
  <si>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</si>
  <si>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</si>
  <si>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</si>
  <si>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</si>
  <si>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</si>
  <si>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</si>
  <si>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</si>
  <si>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</si>
  <si>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</si>
  <si>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</si>
  <si>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</si>
  <si>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</si>
  <si>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</si>
  <si>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</si>
  <si>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</si>
  <si>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</si>
  <si>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</si>
  <si>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</si>
  <si>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</si>
  <si>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</si>
  <si>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</si>
  <si>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</si>
  <si>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</si>
  <si>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</si>
  <si>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</si>
  <si>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</si>
  <si>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</si>
  <si>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</si>
  <si>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</si>
  <si>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</si>
  <si>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</si>
  <si>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</si>
  <si>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</si>
  <si>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</si>
  <si>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</si>
  <si>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</si>
  <si>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</si>
  <si>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</si>
  <si>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</si>
  <si>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</si>
  <si>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</si>
  <si>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</si>
  <si>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</si>
  <si>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</si>
  <si>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</si>
  <si>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</si>
  <si>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</si>
  <si>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</si>
  <si>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</si>
  <si>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</si>
  <si>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</si>
  <si>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</si>
  <si>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</si>
  <si>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</si>
  <si>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</si>
  <si>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</si>
  <si>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</si>
  <si>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</si>
  <si>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</si>
  <si>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</si>
  <si>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</si>
  <si>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</si>
  <si>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</si>
  <si>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</si>
  <si>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</si>
  <si>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</si>
  <si>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</si>
  <si>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</si>
  <si>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</si>
  <si>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</si>
  <si>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</si>
  <si>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</si>
  <si>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</si>
  <si>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</si>
  <si>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</si>
  <si>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</si>
  <si>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</si>
  <si>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</si>
  <si>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</si>
  <si>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</si>
  <si>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</si>
  <si>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</si>
  <si>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</si>
  <si>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</si>
  <si>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</si>
  <si>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</si>
  <si>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</si>
  <si>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</si>
  <si>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</si>
  <si>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</si>
  <si>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</si>
  <si>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</si>
  <si>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</si>
  <si>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</si>
  <si>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</si>
  <si>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</si>
  <si>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</si>
  <si>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</si>
  <si>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</si>
  <si>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</si>
  <si>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</si>
  <si>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</si>
  <si>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</si>
  <si>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</si>
  <si>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</si>
  <si>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</si>
  <si>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</si>
  <si>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</si>
  <si>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</si>
  <si>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</si>
  <si>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</si>
  <si>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</si>
  <si>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</si>
  <si>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</si>
  <si>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</si>
  <si>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</si>
  <si>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</si>
  <si>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</si>
  <si>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</si>
  <si>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</si>
  <si>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</si>
  <si>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</si>
  <si>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</si>
  <si>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</si>
  <si>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</si>
  <si>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</si>
  <si>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</si>
  <si>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</si>
  <si>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</si>
  <si>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</si>
  <si>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</si>
  <si>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</si>
  <si>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</si>
  <si>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</si>
  <si>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</si>
  <si>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</si>
  <si>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</si>
  <si>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</si>
  <si>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</si>
  <si>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</si>
  <si>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</si>
  <si>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</si>
  <si>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</si>
  <si>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</si>
  <si>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</si>
  <si>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</si>
  <si>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</si>
  <si>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</si>
  <si>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</si>
  <si>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</si>
  <si>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</si>
  <si>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</si>
  <si>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</si>
  <si>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</si>
  <si>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</si>
  <si>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</si>
  <si>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</si>
  <si>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</si>
  <si>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</si>
  <si>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</si>
  <si>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</si>
  <si>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</si>
  <si>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</si>
  <si>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</si>
  <si>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</si>
  <si>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</si>
  <si>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</si>
  <si>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</si>
  <si>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</si>
  <si>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</si>
  <si>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</si>
  <si>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</si>
  <si>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</si>
  <si>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</si>
  <si>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</si>
  <si>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</si>
  <si>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</si>
  <si>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</si>
  <si>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</si>
  <si>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</si>
  <si>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</si>
  <si>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</si>
  <si>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</si>
  <si>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</si>
  <si>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</si>
  <si>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</si>
  <si>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</si>
  <si>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</si>
  <si>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</si>
  <si>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</si>
  <si>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</si>
  <si>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</si>
  <si>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</si>
  <si>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</si>
  <si>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</si>
  <si>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</si>
  <si>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</si>
  <si>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</si>
  <si>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</si>
  <si>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</si>
  <si>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</si>
  <si>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</si>
  <si>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</si>
  <si>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</si>
  <si>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</si>
  <si>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</si>
  <si>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</si>
  <si>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</si>
  <si>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</si>
  <si>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</si>
  <si>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</si>
  <si>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</si>
  <si>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</si>
  <si>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</si>
  <si>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</si>
  <si>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</si>
  <si>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</si>
  <si>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</si>
  <si>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</si>
  <si>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</si>
  <si>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</si>
  <si>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</si>
  <si>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</si>
  <si>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</si>
  <si>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</si>
  <si>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</si>
  <si>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</si>
  <si>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</si>
  <si>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</si>
  <si>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</si>
  <si>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</si>
  <si>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</si>
  <si>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</si>
  <si>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</si>
  <si>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</si>
  <si>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</si>
  <si>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</si>
  <si>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</si>
  <si>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</si>
  <si>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</si>
  <si>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</si>
  <si>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</si>
  <si>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</si>
  <si>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</si>
  <si>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</si>
  <si>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</si>
  <si>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</si>
  <si>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</si>
  <si>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</si>
  <si>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</si>
  <si>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</si>
  <si>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</si>
  <si>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</si>
  <si>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</si>
  <si>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</si>
  <si>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</si>
  <si>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</si>
  <si>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</si>
  <si>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</si>
  <si>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</si>
  <si>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</si>
  <si>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</si>
  <si>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</si>
  <si>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</si>
  <si>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</si>
  <si>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</si>
  <si>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</si>
  <si>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</si>
  <si>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</si>
  <si>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</si>
  <si>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</si>
  <si>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</si>
  <si>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</si>
  <si>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</si>
  <si>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</si>
  <si>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</si>
  <si>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</si>
  <si>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</si>
  <si>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</si>
  <si>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</si>
  <si>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</si>
  <si>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</si>
  <si>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</si>
  <si>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</si>
  <si>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</si>
  <si>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</si>
  <si>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</si>
  <si>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</si>
  <si>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</si>
  <si>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</si>
  <si>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</si>
  <si>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</si>
  <si>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</si>
  <si>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</si>
  <si>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</si>
  <si>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</si>
  <si>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</si>
  <si>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</si>
  <si>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</si>
  <si>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</si>
  <si>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</si>
  <si>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</si>
  <si>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</si>
  <si>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</si>
  <si>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</si>
  <si>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</si>
  <si>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</si>
  <si>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</si>
  <si>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</si>
  <si>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</si>
  <si>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</si>
  <si>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</si>
  <si>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</si>
  <si>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</si>
  <si>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</si>
  <si>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</si>
  <si>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</si>
  <si>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</si>
  <si>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</si>
  <si>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</si>
  <si>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</si>
  <si>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</si>
  <si>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</si>
  <si>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</si>
  <si>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</si>
  <si>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</si>
  <si>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</si>
  <si>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</si>
  <si>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</si>
  <si>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</si>
  <si>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</si>
  <si>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</si>
  <si>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</si>
  <si>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</si>
  <si>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</si>
  <si>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</si>
  <si>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</si>
  <si>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</si>
  <si>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</si>
  <si>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</si>
  <si>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</si>
  <si>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</si>
  <si>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</si>
  <si>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</si>
  <si>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</si>
  <si>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</si>
  <si>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</si>
  <si>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</si>
  <si>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</si>
  <si>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</si>
  <si>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</si>
  <si>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</si>
  <si>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</si>
  <si>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</si>
  <si>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</si>
  <si>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</si>
  <si>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</si>
  <si>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</si>
  <si>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</si>
  <si>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</si>
  <si>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</si>
  <si>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</si>
  <si>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</si>
  <si>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</si>
  <si>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</si>
  <si>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</si>
  <si>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</si>
  <si>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</si>
  <si>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</si>
  <si>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</si>
  <si>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</si>
  <si>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</si>
  <si>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</si>
  <si>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</si>
  <si>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</si>
  <si>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</si>
  <si>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</si>
  <si>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</si>
  <si>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</si>
  <si>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</si>
  <si>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</si>
  <si>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</si>
  <si>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</si>
  <si>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</si>
  <si>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</si>
  <si>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</si>
  <si>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</si>
  <si>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</si>
  <si>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</si>
  <si>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</si>
  <si>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</si>
  <si>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</si>
  <si>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</si>
  <si>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</si>
  <si>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</si>
  <si>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</si>
  <si>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</si>
  <si>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</si>
  <si>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</si>
  <si>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</si>
  <si>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</si>
  <si>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</si>
  <si>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</si>
  <si>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</si>
  <si>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</si>
  <si>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</si>
  <si>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</si>
  <si>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</si>
  <si>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</si>
  <si>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</si>
  <si>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</si>
  <si>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</si>
  <si>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</si>
  <si>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</si>
  <si>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</si>
  <si>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</si>
  <si>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</si>
  <si>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</si>
  <si>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</si>
  <si>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</si>
  <si>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</si>
  <si>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</si>
  <si>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</si>
  <si>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</si>
  <si>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</si>
  <si>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</si>
  <si>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</si>
  <si>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</si>
  <si>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</si>
  <si>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</si>
  <si>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</si>
  <si>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</si>
  <si>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</si>
  <si>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</si>
  <si>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</si>
  <si>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</si>
  <si>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</si>
  <si>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</si>
  <si>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</si>
  <si>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</si>
  <si>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</si>
  <si>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</si>
  <si>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</si>
  <si>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</si>
  <si>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</si>
  <si>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</si>
  <si>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</si>
  <si>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</si>
  <si>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</si>
  <si>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</si>
  <si>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</si>
  <si>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</si>
  <si>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</si>
  <si>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</si>
  <si>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</si>
  <si>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</si>
  <si>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</si>
  <si>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</si>
  <si>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</si>
  <si>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</si>
  <si>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</si>
  <si>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</si>
  <si>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</si>
  <si>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</si>
  <si>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</si>
  <si>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</si>
  <si>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</si>
  <si>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</si>
  <si>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</si>
  <si>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</si>
  <si>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</si>
  <si>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</si>
  <si>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</si>
  <si>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</si>
  <si>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</si>
  <si>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</si>
  <si>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</si>
  <si>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</si>
  <si>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</si>
  <si>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</si>
  <si>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</si>
  <si>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</si>
  <si>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</si>
  <si>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</si>
  <si>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</si>
  <si>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</si>
  <si>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</si>
  <si>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</si>
  <si>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</si>
  <si>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</si>
  <si>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</si>
  <si>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</si>
  <si>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</si>
  <si>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</si>
  <si>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</si>
  <si>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</si>
  <si>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</si>
  <si>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</si>
  <si>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</si>
  <si>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</si>
  <si>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</si>
  <si>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</si>
  <si>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</si>
  <si>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</si>
  <si>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</si>
  <si>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</si>
  <si>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</si>
  <si>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</si>
  <si>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</si>
  <si>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</si>
  <si>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</si>
  <si>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</si>
  <si>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</si>
  <si>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</si>
  <si>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</si>
  <si>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</si>
  <si>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</si>
  <si>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</si>
  <si>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</si>
  <si>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</si>
  <si>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</si>
  <si>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</si>
  <si>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</si>
  <si>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</si>
  <si>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</si>
  <si>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</si>
  <si>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</si>
  <si>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</si>
  <si>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</si>
  <si>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</si>
  <si>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</si>
  <si>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</si>
  <si>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</si>
  <si>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</si>
  <si>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</si>
  <si>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</si>
  <si>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</si>
  <si>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</si>
  <si>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</si>
  <si>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</si>
  <si>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</si>
  <si>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</si>
  <si>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</si>
  <si>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</si>
  <si>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</si>
  <si>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</si>
  <si>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</si>
  <si>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</si>
  <si>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</si>
  <si>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</si>
  <si>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</si>
  <si>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</si>
  <si>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</si>
  <si>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</si>
  <si>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</si>
  <si>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</si>
  <si>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</si>
  <si>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</si>
  <si>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</si>
  <si>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</si>
  <si>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</si>
  <si>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</si>
  <si>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</si>
  <si>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</si>
  <si>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</si>
  <si>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</si>
  <si>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</si>
  <si>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</si>
  <si>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</si>
  <si>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</si>
  <si>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</si>
  <si>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</si>
  <si>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</si>
  <si>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</si>
  <si>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</si>
  <si>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</si>
  <si>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</si>
  <si>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</si>
  <si>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</si>
  <si>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</si>
  <si>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</si>
  <si>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</si>
  <si>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</si>
  <si>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</si>
  <si>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</si>
  <si>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</si>
  <si>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</si>
  <si>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</si>
  <si>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</si>
  <si>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</si>
  <si>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</si>
  <si>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</si>
  <si>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</si>
  <si>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</si>
  <si>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</si>
  <si>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</si>
  <si>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</si>
  <si>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</si>
  <si>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</si>
  <si>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</si>
  <si>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</si>
  <si>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</si>
  <si>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</si>
  <si>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</si>
  <si>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</si>
  <si>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</si>
  <si>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</si>
  <si>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</si>
  <si>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</si>
  <si>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</si>
  <si>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</si>
  <si>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</si>
  <si>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</si>
  <si>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</si>
  <si>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</si>
  <si>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</si>
  <si>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</si>
  <si>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</si>
  <si>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</si>
  <si>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</si>
  <si>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</si>
  <si>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</si>
  <si>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</si>
  <si>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</si>
  <si>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</si>
  <si>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</si>
  <si>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</si>
  <si>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</si>
  <si>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</si>
  <si>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</si>
  <si>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</si>
  <si>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</si>
  <si>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</si>
  <si>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</si>
  <si>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</si>
  <si>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</si>
  <si>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</si>
  <si>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</si>
  <si>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</si>
  <si>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</si>
  <si>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</si>
  <si>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</si>
  <si>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</si>
  <si>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</si>
  <si>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</si>
  <si>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</si>
  <si>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</si>
  <si>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</si>
  <si>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</si>
  <si>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</si>
  <si>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</si>
  <si>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</si>
  <si>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</si>
  <si>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</si>
  <si>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</si>
  <si>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</si>
  <si>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</si>
  <si>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</si>
  <si>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</si>
  <si>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</si>
  <si>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</si>
  <si>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</si>
  <si>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</si>
  <si>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</si>
  <si>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</si>
  <si>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</si>
  <si>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</si>
  <si>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</si>
  <si>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</si>
  <si>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</si>
  <si>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</si>
  <si>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</si>
  <si>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</si>
  <si>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</si>
  <si>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</si>
  <si>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</si>
  <si>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</si>
  <si>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</si>
  <si>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</si>
  <si>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</si>
  <si>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</si>
  <si>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</si>
  <si>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</si>
  <si>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</si>
  <si>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</si>
  <si>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</si>
  <si>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</si>
  <si>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</si>
  <si>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</si>
  <si>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</si>
  <si>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</si>
  <si>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</si>
  <si>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</si>
  <si>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</si>
  <si>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</si>
  <si>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</si>
  <si>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</si>
  <si>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</si>
  <si>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</si>
  <si>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</si>
  <si>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</si>
  <si>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</si>
  <si>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</si>
  <si>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</si>
  <si>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</si>
  <si>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</si>
  <si>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</si>
  <si>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</si>
  <si>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</si>
  <si>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</si>
  <si>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</si>
  <si>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</si>
  <si>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</si>
  <si>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</si>
  <si>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</si>
  <si>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</si>
  <si>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</si>
  <si>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</si>
  <si>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</si>
  <si>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</si>
  <si>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</si>
  <si>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</si>
  <si>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</si>
  <si>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</si>
  <si>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</si>
  <si>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</si>
  <si>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</si>
  <si>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</si>
  <si>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</si>
  <si>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</si>
  <si>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</si>
  <si>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</si>
  <si>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</si>
  <si>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</si>
  <si>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</si>
  <si>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</si>
  <si>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</si>
  <si>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</si>
  <si>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</si>
  <si>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</si>
  <si>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</si>
  <si>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</si>
  <si>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</si>
  <si>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</si>
  <si>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</si>
  <si>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</si>
  <si>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</si>
  <si>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</si>
  <si>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</si>
  <si>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</si>
  <si>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</si>
  <si>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</si>
  <si>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</si>
  <si>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</si>
  <si>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</si>
  <si>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</si>
  <si>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</si>
  <si>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</si>
  <si>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</si>
  <si>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</si>
  <si>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</si>
  <si>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</si>
  <si>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</si>
  <si>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</si>
  <si>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</si>
  <si>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</si>
  <si>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</si>
  <si>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</si>
  <si>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</si>
  <si>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</si>
  <si>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</si>
  <si>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</si>
  <si>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</si>
  <si>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</si>
  <si>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</si>
  <si>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</si>
  <si>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</si>
  <si>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</si>
  <si>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</si>
  <si>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</si>
  <si>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</si>
  <si>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</si>
  <si>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</si>
  <si>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</si>
  <si>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</si>
  <si>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</si>
  <si>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</si>
  <si>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</si>
  <si>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</si>
  <si>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</si>
  <si>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</si>
  <si>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</si>
  <si>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</si>
  <si>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</si>
  <si>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</si>
  <si>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</si>
  <si>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</si>
  <si>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</si>
  <si>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</si>
  <si>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</si>
  <si>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</si>
  <si>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</si>
  <si>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</si>
  <si>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</si>
  <si>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</si>
  <si>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</si>
  <si>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</si>
  <si>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</si>
  <si>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</si>
  <si>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</si>
  <si>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</si>
  <si>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</si>
  <si>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</si>
  <si>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</si>
  <si>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</si>
  <si>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</si>
  <si>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</si>
  <si>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</si>
  <si>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</si>
  <si>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</si>
  <si>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</si>
  <si>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</si>
  <si>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</si>
  <si>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</si>
  <si>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</si>
  <si>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</si>
  <si>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</si>
  <si>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</si>
  <si>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</si>
  <si>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</si>
  <si>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</si>
  <si>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</si>
  <si>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</si>
  <si>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</si>
  <si>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</si>
  <si>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</si>
  <si>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</si>
  <si>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</si>
  <si>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</si>
  <si>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</si>
  <si>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</si>
  <si>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</si>
  <si>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</si>
  <si>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</si>
  <si>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</si>
  <si>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</si>
  <si>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</si>
  <si>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</si>
  <si>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</si>
  <si>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</si>
  <si>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</si>
  <si>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</si>
  <si>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</si>
  <si>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</si>
  <si>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</si>
  <si>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</si>
  <si>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</si>
  <si>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</si>
  <si>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</si>
  <si>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</si>
  <si>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</si>
  <si>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</si>
  <si>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</si>
  <si>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</si>
  <si>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</si>
  <si>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</si>
  <si>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</si>
  <si>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</si>
  <si>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</si>
  <si>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</si>
  <si>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</si>
  <si>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</si>
  <si>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</si>
  <si>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</si>
  <si>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</si>
  <si>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</si>
  <si>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</si>
  <si>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</si>
  <si>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</si>
  <si>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</si>
  <si>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</si>
  <si>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</si>
  <si>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</si>
  <si>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</si>
  <si>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</si>
  <si>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</si>
  <si>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</si>
  <si>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</si>
  <si>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</si>
  <si>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</si>
  <si>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</si>
  <si>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</si>
  <si>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</si>
  <si>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</si>
  <si>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</si>
  <si>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</si>
  <si>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</si>
  <si>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</si>
  <si>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</si>
  <si>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</si>
  <si>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</si>
  <si>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</si>
  <si>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</si>
  <si>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</si>
  <si>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</si>
  <si>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</si>
  <si>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</si>
  <si>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</si>
  <si>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</si>
  <si>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</si>
  <si>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</si>
  <si>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</si>
  <si>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</si>
  <si>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</si>
  <si>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</si>
  <si>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</si>
  <si>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</si>
  <si>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</si>
  <si>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</si>
  <si>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</si>
  <si>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</si>
  <si>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</si>
  <si>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</si>
  <si>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</si>
  <si>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</si>
  <si>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</si>
  <si>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</si>
  <si>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</si>
  <si>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</si>
  <si>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</si>
  <si>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</si>
  <si>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</si>
  <si>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</si>
  <si>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</si>
  <si>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</si>
  <si>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</si>
  <si>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</si>
  <si>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</si>
  <si>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</si>
  <si>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</si>
  <si>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</si>
  <si>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</si>
  <si>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</si>
  <si>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</si>
  <si>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</si>
  <si>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</si>
  <si>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</si>
  <si>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</si>
  <si>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</si>
  <si>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</si>
  <si>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</si>
  <si>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</si>
  <si>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</si>
  <si>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</si>
  <si>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</si>
  <si>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</si>
  <si>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</si>
  <si>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</si>
  <si>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</si>
  <si>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</si>
  <si>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</si>
  <si>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</si>
  <si>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</si>
  <si>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</si>
  <si>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</si>
  <si>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</si>
  <si>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</si>
  <si>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</si>
  <si>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</si>
  <si>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</si>
  <si>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</si>
  <si>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</si>
  <si>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</si>
  <si>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</si>
  <si>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</si>
  <si>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</si>
  <si>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</si>
  <si>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</si>
  <si>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</si>
  <si>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</si>
  <si>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</si>
  <si>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</si>
  <si>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</si>
  <si>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</si>
  <si>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</si>
  <si>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</si>
  <si>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</si>
  <si>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</si>
  <si>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</si>
  <si>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</si>
  <si>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</si>
  <si>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</si>
  <si>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</si>
  <si>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</si>
  <si>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</si>
  <si>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</si>
  <si>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</si>
  <si>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</si>
  <si>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</si>
  <si>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</si>
  <si>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</si>
  <si>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</si>
  <si>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</si>
  <si>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</si>
  <si>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</si>
  <si>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</si>
  <si>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</si>
  <si>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</si>
  <si>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</si>
  <si>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</si>
  <si>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</si>
  <si>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</si>
  <si>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</si>
  <si>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</si>
  <si>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</si>
  <si>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</si>
  <si>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</si>
  <si>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</si>
  <si>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</si>
  <si>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</si>
  <si>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</si>
  <si>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</si>
  <si>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</si>
  <si>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</si>
  <si>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</si>
  <si>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</si>
  <si>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</si>
  <si>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</si>
  <si>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</si>
  <si>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</si>
  <si>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</si>
  <si>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</si>
  <si>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</si>
  <si>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</si>
  <si>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</si>
  <si>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</si>
  <si>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</si>
  <si>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</si>
  <si>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</si>
  <si>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</si>
  <si>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</si>
  <si>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</si>
  <si>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</si>
  <si>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</si>
  <si>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</si>
  <si>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</si>
  <si>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</si>
  <si>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</si>
  <si>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</si>
  <si>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</si>
  <si>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</si>
  <si>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</si>
  <si>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</si>
  <si>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</si>
  <si>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</si>
  <si>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</si>
  <si>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</si>
  <si>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</si>
  <si>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</si>
  <si>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</si>
  <si>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</si>
  <si>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</si>
  <si>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</si>
  <si>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</si>
  <si>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</si>
  <si>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</si>
  <si>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</si>
  <si>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</si>
  <si>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</si>
  <si>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</si>
  <si>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</si>
  <si>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</si>
  <si>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</si>
  <si>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</si>
  <si>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</si>
  <si>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</si>
  <si>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</si>
  <si>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</si>
  <si>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</si>
  <si>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</si>
  <si>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</si>
  <si>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</si>
  <si>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</si>
  <si>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</si>
  <si>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</si>
  <si>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</si>
  <si>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</si>
  <si>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</si>
  <si>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</si>
  <si>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</si>
  <si>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</si>
  <si>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</si>
  <si>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</si>
  <si>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</si>
  <si>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</si>
  <si>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</si>
  <si>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</si>
  <si>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</si>
  <si>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</si>
  <si>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</si>
  <si>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</si>
  <si>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</si>
  <si>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</si>
  <si>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</si>
  <si>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</si>
  <si>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</si>
  <si>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</si>
  <si>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</si>
  <si>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</si>
  <si>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</si>
  <si>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</si>
  <si>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</si>
  <si>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</si>
  <si>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</si>
  <si>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</si>
  <si>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</si>
  <si>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</si>
  <si>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</si>
  <si>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</si>
  <si>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</si>
  <si>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</si>
  <si>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</si>
  <si>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</si>
  <si>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</si>
  <si>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</si>
  <si>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</si>
  <si>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</si>
  <si>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</si>
  <si>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</si>
  <si>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</si>
  <si>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</si>
  <si>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</si>
  <si>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</si>
  <si>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</si>
  <si>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</si>
  <si>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</si>
  <si>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</si>
  <si>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</si>
  <si>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</si>
  <si>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</si>
  <si>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</si>
  <si>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</si>
  <si>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</si>
  <si>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</si>
  <si>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</si>
  <si>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</si>
  <si>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</si>
  <si>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</si>
  <si>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</si>
  <si>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</si>
  <si>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</si>
  <si>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</si>
  <si>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</si>
  <si>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</si>
  <si>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</si>
  <si>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</si>
  <si>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</si>
  <si>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</si>
  <si>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</si>
  <si>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</si>
  <si>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</si>
  <si>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</si>
  <si>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</si>
  <si>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</si>
  <si>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</si>
  <si>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</si>
  <si>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</si>
  <si>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</si>
  <si>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</si>
  <si>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</si>
  <si>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</si>
  <si>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</si>
  <si>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</si>
  <si>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</si>
  <si>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</si>
  <si>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</si>
  <si>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</si>
  <si>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</si>
  <si>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</si>
  <si>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</si>
  <si>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</si>
  <si>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</si>
  <si>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</si>
  <si>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</si>
  <si>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</si>
  <si>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</si>
  <si>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</si>
  <si>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</si>
  <si>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</si>
  <si>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</si>
  <si>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</si>
  <si>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</si>
  <si>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</si>
  <si>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</si>
  <si>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</si>
  <si>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</si>
  <si>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</si>
  <si>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</si>
  <si>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</si>
  <si>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</si>
  <si>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</si>
  <si>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</si>
  <si>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</si>
  <si>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</si>
  <si>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</si>
  <si>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</si>
  <si>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</si>
  <si>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</si>
  <si>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</si>
  <si>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</si>
  <si>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</si>
  <si>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</si>
  <si>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</si>
  <si>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</si>
  <si>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</si>
  <si>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</si>
  <si>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</si>
  <si>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</si>
  <si>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</si>
  <si>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</si>
  <si>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</si>
  <si>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</si>
  <si>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</si>
  <si>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</si>
  <si>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</si>
  <si>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</si>
  <si>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</si>
  <si>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</si>
  <si>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</si>
  <si>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</si>
  <si>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</si>
  <si>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</si>
  <si>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</si>
  <si>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</si>
  <si>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</si>
  <si>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</si>
  <si>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</si>
  <si>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</si>
  <si>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</si>
  <si>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</si>
  <si>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</si>
  <si>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</si>
  <si>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</si>
  <si>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</si>
  <si>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</si>
  <si>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</si>
  <si>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</si>
  <si>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</si>
  <si>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</si>
  <si>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</si>
  <si>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</si>
  <si>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</si>
  <si>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</si>
  <si>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</si>
  <si>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</si>
  <si>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</si>
  <si>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</si>
  <si>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</si>
  <si>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</si>
  <si>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</si>
  <si>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</si>
  <si>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</si>
  <si>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</si>
  <si>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</si>
  <si>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</si>
  <si>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</si>
  <si>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</si>
  <si>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</si>
  <si>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</si>
  <si>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</si>
  <si>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</si>
  <si>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</si>
  <si>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</si>
  <si>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</si>
  <si>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</si>
  <si>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</si>
  <si>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</si>
  <si>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</si>
  <si>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</si>
  <si>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</si>
  <si>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</si>
  <si>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</si>
  <si>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</si>
  <si>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</si>
  <si>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</si>
  <si>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</si>
  <si>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</si>
  <si>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</si>
  <si>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</si>
  <si>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</si>
  <si>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</si>
  <si>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</si>
  <si>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</si>
  <si>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</si>
  <si>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</si>
  <si>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</si>
  <si>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</si>
  <si>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</si>
  <si>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</si>
  <si>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</si>
  <si>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</si>
  <si>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</si>
  <si>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</si>
  <si>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</si>
  <si>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</si>
  <si>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</si>
  <si>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</si>
  <si>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</si>
  <si>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</si>
  <si>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</si>
  <si>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</si>
  <si>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</si>
  <si>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</si>
  <si>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</si>
  <si>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</si>
  <si>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</si>
  <si>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</si>
  <si>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</si>
  <si>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</si>
  <si>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</si>
  <si>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</si>
  <si>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</si>
  <si>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</si>
  <si>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</si>
  <si>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</si>
  <si>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</si>
  <si>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</si>
  <si>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</si>
  <si>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</si>
  <si>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</si>
  <si>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</si>
  <si>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</si>
  <si>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</si>
  <si>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</si>
  <si>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</si>
  <si>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</si>
  <si>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</si>
  <si>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</si>
  <si>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</si>
  <si>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</si>
  <si>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</si>
  <si>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</si>
  <si>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</si>
  <si>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</si>
  <si>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</si>
  <si>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</si>
  <si>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</si>
  <si>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</si>
  <si>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</si>
  <si>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</si>
  <si>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</si>
  <si>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</si>
  <si>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</si>
  <si>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</si>
  <si>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</si>
  <si>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</si>
  <si>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</si>
  <si>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</si>
  <si>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</si>
  <si>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</si>
  <si>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</si>
  <si>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</si>
  <si>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</si>
  <si>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</si>
  <si>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</si>
  <si>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</si>
  <si>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</si>
  <si>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</si>
  <si>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</si>
  <si>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</si>
  <si>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</si>
  <si>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</si>
  <si>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</si>
  <si>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</si>
  <si>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</si>
  <si>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</si>
  <si>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</si>
  <si>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</si>
  <si>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</si>
  <si>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</si>
  <si>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</si>
  <si>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</si>
  <si>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</si>
  <si>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</si>
  <si>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</si>
  <si>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</si>
  <si>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</si>
  <si>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</si>
  <si>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</si>
  <si>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</si>
  <si>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</si>
  <si>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</si>
  <si>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</si>
  <si>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</si>
  <si>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</si>
  <si>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</si>
  <si>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</si>
  <si>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</si>
  <si>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</si>
  <si>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</si>
  <si>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</si>
  <si>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</si>
  <si>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</si>
  <si>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</si>
  <si>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</si>
  <si>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</si>
  <si>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</si>
  <si>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</si>
  <si>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</si>
  <si>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</si>
  <si>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</si>
  <si>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</si>
  <si>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</si>
  <si>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</si>
  <si>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</si>
  <si>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</si>
  <si>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</si>
  <si>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</si>
  <si>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</si>
  <si>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</si>
  <si>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</si>
  <si>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</si>
  <si>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</si>
  <si>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</si>
  <si>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</si>
  <si>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</si>
  <si>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</si>
  <si>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</si>
  <si>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</si>
  <si>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</si>
  <si>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</si>
  <si>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</si>
  <si>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</si>
  <si>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</si>
  <si>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</si>
  <si>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</si>
  <si>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</si>
  <si>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</si>
  <si>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</si>
  <si>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</si>
  <si>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</si>
  <si>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</si>
  <si>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</si>
  <si>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</si>
  <si>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</si>
  <si>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</si>
  <si>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</si>
  <si>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</si>
  <si>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</si>
  <si>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</si>
  <si>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</si>
  <si>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</si>
  <si>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</si>
  <si>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</si>
  <si>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</si>
  <si>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</si>
  <si>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</si>
  <si>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</si>
  <si>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</si>
  <si>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</si>
  <si>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</si>
  <si>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</si>
  <si>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</si>
  <si>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</si>
  <si>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</si>
  <si>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</si>
  <si>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</si>
  <si>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</si>
  <si>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</si>
  <si>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</si>
  <si>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</si>
  <si>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</si>
  <si>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</si>
  <si>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</si>
  <si>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</si>
  <si>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</si>
  <si>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</si>
  <si>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</si>
  <si>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</si>
  <si>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</si>
  <si>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</si>
  <si>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</si>
  <si>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</si>
  <si>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</si>
  <si>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</si>
  <si>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</si>
  <si>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</si>
  <si>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</si>
  <si>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</si>
  <si>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</si>
  <si>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</si>
  <si>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</si>
  <si>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</si>
  <si>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</si>
  <si>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</si>
  <si>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</si>
  <si>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</si>
  <si>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</si>
  <si>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</si>
  <si>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</si>
  <si>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</si>
  <si>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</si>
  <si>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</si>
  <si>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</si>
  <si>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</si>
  <si>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</si>
  <si>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</si>
  <si>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</si>
  <si>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</si>
  <si>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</si>
  <si>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</si>
  <si>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</si>
  <si>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</si>
  <si>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</si>
  <si>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</si>
  <si>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</si>
  <si>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</si>
  <si>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</si>
  <si>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</si>
  <si>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</si>
  <si>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</si>
  <si>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</si>
  <si>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</si>
  <si>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</si>
  <si>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</si>
  <si>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</si>
  <si>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</si>
  <si>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</si>
  <si>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</si>
  <si>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</si>
  <si>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</si>
  <si>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</si>
  <si>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</si>
  <si>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</si>
  <si>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</si>
  <si>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</si>
  <si>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</si>
  <si>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</si>
  <si>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</si>
  <si>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</si>
  <si>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</si>
  <si>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</si>
  <si>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</si>
  <si>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</si>
  <si>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</si>
  <si>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</si>
  <si>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</si>
  <si>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</si>
  <si>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</si>
  <si>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</si>
  <si>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</si>
  <si>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</si>
  <si>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</si>
  <si>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</si>
  <si>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</si>
  <si>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</si>
  <si>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</si>
  <si>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</si>
  <si>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</si>
  <si>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</si>
  <si>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</si>
  <si>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</si>
  <si>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</si>
  <si>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</si>
  <si>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</si>
  <si>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</si>
  <si>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</si>
  <si>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</si>
  <si>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</si>
  <si>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</si>
  <si>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</si>
  <si>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</si>
  <si>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</si>
  <si>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</si>
  <si>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</si>
  <si>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</si>
  <si>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</si>
  <si>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</si>
  <si>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</si>
  <si>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</si>
  <si>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</si>
  <si>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</si>
  <si>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</si>
  <si>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</si>
  <si>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</si>
  <si>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</si>
  <si>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</si>
  <si>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</si>
  <si>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</si>
  <si>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</si>
  <si>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</si>
  <si>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</si>
  <si>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</si>
  <si>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</si>
  <si>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</si>
  <si>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</si>
  <si>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</si>
  <si>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</si>
  <si>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</si>
  <si>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</si>
  <si>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</si>
  <si>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</si>
  <si>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</si>
  <si>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</si>
  <si>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</si>
  <si>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</si>
  <si>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</si>
  <si>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</si>
  <si>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</si>
  <si>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</si>
  <si>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</si>
  <si>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</si>
  <si>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</si>
  <si>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</si>
  <si>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</si>
  <si>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</si>
  <si>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</si>
  <si>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</si>
  <si>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</si>
  <si>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</si>
  <si>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</si>
  <si>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</si>
  <si>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</si>
  <si>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</si>
  <si>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</si>
  <si>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</si>
  <si>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</si>
  <si>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</si>
  <si>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</si>
  <si>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</si>
  <si>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</si>
  <si>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</si>
  <si>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</si>
  <si>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</si>
  <si>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</si>
  <si>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</si>
  <si>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</si>
  <si>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</si>
  <si>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</si>
  <si>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</si>
  <si>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</si>
  <si>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</si>
  <si>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</si>
  <si>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</si>
  <si>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</si>
  <si>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</si>
  <si>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</si>
  <si>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</si>
  <si>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</si>
  <si>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</si>
  <si>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</si>
  <si>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</si>
  <si>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</si>
  <si>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</si>
  <si>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</si>
  <si>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</si>
  <si>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</si>
  <si>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</si>
  <si>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</si>
  <si>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</si>
  <si>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</si>
  <si>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</si>
  <si>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</si>
  <si>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</si>
  <si>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</si>
  <si>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</si>
  <si>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</si>
  <si>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</si>
  <si>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</si>
  <si>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</si>
  <si>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</si>
  <si>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</si>
  <si>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</si>
  <si>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</si>
  <si>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</si>
  <si>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</si>
  <si>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</si>
  <si>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</si>
  <si>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</si>
  <si>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</si>
  <si>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</si>
  <si>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</si>
  <si>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</si>
  <si>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</si>
  <si>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</si>
  <si>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</si>
  <si>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</si>
  <si>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</si>
  <si>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</si>
  <si>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</si>
  <si>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</si>
  <si>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</si>
  <si>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</si>
  <si>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</si>
  <si>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</si>
  <si>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</si>
  <si>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</si>
  <si>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</si>
  <si>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</si>
  <si>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</si>
  <si>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</si>
  <si>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</si>
  <si>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</si>
  <si>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</si>
  <si>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</si>
  <si>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</si>
  <si>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</si>
  <si>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</si>
  <si>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</si>
  <si>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</si>
  <si>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</si>
  <si>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</si>
  <si>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</si>
  <si>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</si>
  <si>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</si>
  <si>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</si>
  <si>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</si>
  <si>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</si>
  <si>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</si>
  <si>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</si>
  <si>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</si>
  <si>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</si>
  <si>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</si>
  <si>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</si>
  <si>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</si>
  <si>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</si>
  <si>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</si>
  <si>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</si>
  <si>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</si>
  <si>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</si>
  <si>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</si>
  <si>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</si>
  <si>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</si>
  <si>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</si>
  <si>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</si>
  <si>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</si>
  <si>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</si>
  <si>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</si>
  <si>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</si>
  <si>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</si>
  <si>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</si>
  <si>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</si>
  <si>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</si>
  <si>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</si>
  <si>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</si>
  <si>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</si>
  <si>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</si>
  <si>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</si>
  <si>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</si>
  <si>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</si>
  <si>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</si>
  <si>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</si>
  <si>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</si>
  <si>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</si>
  <si>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</si>
  <si>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</si>
  <si>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</si>
  <si>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</si>
  <si>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</si>
  <si>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</si>
  <si>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</si>
  <si>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</si>
  <si>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</si>
  <si>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</si>
  <si>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</si>
  <si>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</si>
  <si>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</si>
  <si>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</si>
  <si>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</si>
  <si>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</si>
  <si>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</si>
  <si>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</si>
  <si>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</si>
  <si>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</si>
  <si>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</si>
  <si>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</si>
  <si>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</si>
  <si>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</si>
  <si>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</si>
  <si>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</si>
  <si>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</si>
  <si>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</si>
  <si>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</si>
  <si>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</si>
  <si>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</si>
  <si>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</si>
  <si>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</si>
  <si>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</si>
  <si>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</si>
  <si>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</si>
  <si>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</si>
  <si>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</si>
  <si>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</si>
  <si>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</si>
  <si>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</si>
  <si>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</si>
  <si>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</si>
  <si>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</si>
  <si>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</si>
  <si>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</si>
  <si>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</si>
  <si>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</si>
  <si>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</si>
  <si>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</si>
  <si>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</si>
  <si>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</si>
  <si>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</si>
  <si>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</si>
  <si>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</si>
  <si>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</si>
  <si>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</si>
  <si>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</si>
  <si>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</si>
  <si>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</si>
  <si>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</si>
  <si>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</si>
  <si>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</si>
  <si>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</si>
  <si>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</si>
  <si>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</si>
  <si>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</si>
  <si>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</si>
  <si>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</si>
  <si>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</si>
  <si>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</si>
  <si>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</si>
  <si>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</si>
  <si>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</si>
  <si>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</si>
  <si>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</si>
  <si>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</si>
  <si>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</si>
  <si>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</si>
  <si>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</si>
  <si>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</si>
  <si>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</si>
  <si>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</si>
  <si>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</si>
  <si>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</si>
  <si>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</si>
  <si>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</si>
  <si>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</si>
  <si>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</si>
  <si>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</si>
  <si>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</si>
  <si>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</si>
  <si>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</si>
  <si>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</si>
  <si>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</si>
  <si>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</si>
  <si>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</si>
  <si>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</si>
  <si>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</si>
  <si>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</si>
  <si>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</si>
  <si>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</si>
  <si>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</si>
  <si>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</si>
  <si>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</si>
  <si>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</si>
  <si>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</si>
  <si>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</si>
  <si>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</si>
  <si>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</si>
  <si>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</si>
  <si>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</si>
  <si>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</si>
  <si>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</si>
  <si>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</si>
  <si>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</si>
  <si>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</si>
  <si>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</si>
  <si>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</si>
  <si>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</si>
  <si>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</si>
  <si>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</si>
  <si>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</si>
  <si>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</si>
  <si>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</si>
  <si>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</si>
  <si>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</si>
  <si>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</si>
  <si>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</si>
  <si>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</si>
  <si>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</si>
  <si>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</si>
  <si>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</si>
  <si>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</si>
  <si>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</si>
  <si>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</si>
  <si>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</si>
  <si>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</si>
  <si>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</si>
  <si>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</si>
  <si>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</si>
  <si>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</si>
  <si>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</si>
  <si>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</si>
  <si>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</si>
  <si>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</si>
  <si>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</si>
  <si>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</si>
  <si>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</si>
  <si>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</si>
  <si>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</si>
  <si>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</si>
  <si>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</si>
  <si>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</si>
  <si>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</si>
  <si>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</si>
  <si>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</si>
  <si>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</si>
  <si>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</si>
  <si>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</si>
  <si>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</si>
  <si>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</si>
  <si>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</si>
  <si>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</si>
  <si>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</si>
  <si>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</si>
  <si>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</si>
  <si>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</si>
  <si>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</si>
  <si>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</si>
  <si>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</si>
  <si>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</si>
  <si>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</si>
  <si>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</si>
  <si>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</si>
  <si>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</si>
  <si>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</si>
  <si>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</si>
  <si>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</si>
  <si>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</si>
  <si>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</si>
  <si>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</si>
  <si>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</si>
  <si>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</si>
  <si>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</si>
  <si>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</si>
  <si>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</si>
  <si>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</si>
  <si>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</si>
  <si>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</si>
  <si>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</si>
  <si>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</si>
  <si>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</si>
  <si>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</si>
  <si>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</si>
  <si>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</si>
  <si>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</si>
  <si>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</si>
  <si>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</si>
  <si>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</si>
  <si>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</si>
  <si>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</si>
  <si>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</si>
  <si>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</si>
  <si>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</si>
  <si>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</si>
  <si>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</si>
  <si>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</si>
  <si>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</si>
  <si>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</si>
  <si>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</si>
  <si>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</si>
  <si>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</si>
  <si>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</si>
  <si>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</si>
  <si>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</si>
  <si>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</si>
  <si>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</si>
  <si>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</si>
  <si>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</si>
  <si>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</si>
  <si>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</si>
  <si>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</si>
  <si>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</si>
  <si>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</si>
  <si>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</si>
  <si>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</si>
  <si>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</si>
  <si>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</si>
  <si>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</si>
  <si>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</si>
  <si>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</si>
  <si>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</si>
  <si>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</si>
  <si>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</si>
  <si>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</si>
  <si>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</si>
  <si>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</si>
  <si>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</si>
  <si>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</si>
  <si>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</si>
  <si>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</si>
  <si>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</si>
  <si>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</si>
  <si>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</si>
  <si>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</si>
  <si>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</si>
  <si>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</si>
  <si>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</si>
  <si>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</si>
  <si>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</si>
  <si>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</si>
  <si>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</si>
  <si>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</si>
  <si>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</si>
  <si>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</si>
  <si>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</si>
  <si>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</si>
  <si>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</si>
  <si>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</si>
  <si>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</si>
  <si>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</si>
  <si>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</si>
  <si>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</si>
  <si>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</si>
  <si>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</si>
  <si>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</si>
  <si>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</si>
  <si>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</si>
  <si>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</si>
  <si>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</si>
  <si>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</si>
  <si>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</si>
  <si>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</si>
  <si>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</si>
  <si>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</si>
  <si>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</si>
  <si>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</si>
  <si>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</si>
  <si>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</si>
  <si>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</si>
  <si>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</si>
  <si>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</si>
  <si>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</si>
  <si>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</si>
  <si>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</si>
  <si>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</si>
  <si>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</si>
  <si>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</si>
  <si>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</si>
  <si>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</si>
  <si>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</si>
  <si>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</si>
  <si>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</si>
  <si>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</si>
  <si>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</si>
  <si>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</si>
  <si>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</si>
  <si>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</si>
  <si>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</si>
  <si>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</si>
  <si>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</si>
  <si>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</si>
  <si>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</si>
  <si>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</si>
  <si>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</si>
  <si>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</si>
  <si>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</si>
  <si>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</si>
  <si>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</si>
  <si>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</si>
  <si>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</si>
  <si>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</si>
  <si>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</si>
  <si>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</si>
  <si>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</si>
  <si>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</si>
  <si>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</si>
  <si>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</si>
  <si>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</si>
  <si>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</si>
  <si>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</si>
  <si>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</si>
  <si>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</si>
  <si>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</si>
  <si>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</si>
  <si>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</si>
  <si>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</si>
  <si>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</si>
  <si>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</si>
  <si>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</si>
  <si>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</si>
  <si>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</si>
  <si>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</si>
  <si>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</si>
  <si>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</si>
  <si>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</si>
  <si>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</si>
  <si>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</si>
  <si>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</si>
  <si>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</si>
  <si>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</si>
  <si>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</si>
  <si>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</si>
  <si>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</si>
  <si>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</si>
  <si>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</si>
  <si>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</si>
  <si>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</si>
  <si>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</si>
  <si>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</si>
  <si>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</si>
  <si>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</si>
  <si>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</si>
  <si>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</si>
  <si>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</si>
  <si>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</si>
  <si>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</si>
  <si>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</si>
  <si>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</si>
  <si>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</si>
  <si>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</si>
  <si>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</si>
  <si>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</si>
  <si>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</si>
  <si>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</si>
  <si>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</si>
  <si>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</si>
  <si>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</si>
  <si>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</si>
  <si>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</si>
  <si>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</si>
  <si>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</si>
  <si>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</si>
  <si>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</si>
  <si>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</si>
  <si>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</si>
  <si>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</si>
  <si>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</si>
  <si>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</si>
  <si>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</si>
  <si>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</si>
  <si>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</si>
  <si>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</si>
  <si>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</si>
  <si>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</si>
  <si>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</si>
  <si>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</si>
  <si>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</si>
  <si>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</si>
  <si>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</si>
  <si>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</si>
  <si>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</si>
  <si>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</si>
  <si>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</si>
  <si>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</si>
  <si>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</si>
  <si>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</si>
  <si>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</si>
  <si>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</si>
  <si>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</si>
  <si>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</si>
  <si>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</si>
  <si>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</si>
  <si>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</si>
  <si>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</si>
  <si>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</si>
  <si>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</si>
  <si>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</si>
  <si>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</si>
  <si>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</si>
  <si>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</si>
  <si>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</si>
  <si>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</si>
  <si>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</si>
  <si>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</si>
  <si>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</si>
  <si>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</si>
  <si>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</si>
  <si>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</si>
  <si>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</si>
  <si>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</si>
  <si>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</si>
  <si>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</si>
  <si>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</si>
  <si>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</si>
  <si>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</si>
  <si>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</si>
  <si>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</si>
  <si>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</si>
  <si>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</si>
  <si>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</si>
  <si>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</si>
  <si>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</si>
  <si>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</si>
  <si>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</si>
  <si>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</si>
  <si>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</si>
  <si>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</si>
  <si>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</si>
  <si>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</si>
  <si>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</si>
  <si>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</si>
  <si>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</si>
  <si>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</si>
  <si>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</si>
  <si>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</si>
  <si>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</si>
  <si>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</si>
  <si>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</si>
  <si>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</si>
  <si>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</si>
  <si>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</si>
  <si>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</si>
  <si>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</si>
  <si>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</si>
  <si>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</si>
  <si>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</si>
  <si>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</si>
  <si>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</si>
  <si>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</si>
  <si>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</si>
  <si>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</si>
  <si>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</si>
  <si>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</si>
  <si>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</si>
  <si>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</si>
  <si>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</si>
  <si>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</si>
  <si>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</si>
  <si>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</si>
  <si>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</si>
  <si>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</si>
  <si>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</si>
  <si>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</si>
  <si>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</si>
  <si>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</si>
  <si>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</si>
  <si>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</si>
  <si>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</si>
  <si>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</si>
  <si>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</si>
  <si>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</si>
  <si>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</si>
  <si>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</si>
  <si>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</si>
  <si>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</si>
  <si>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</si>
  <si>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</si>
  <si>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</si>
  <si>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</si>
  <si>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</si>
  <si>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</si>
  <si>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</si>
  <si>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</si>
  <si>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</si>
  <si>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</si>
  <si>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</si>
  <si>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</si>
  <si>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</si>
  <si>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</si>
  <si>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</si>
  <si>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</si>
  <si>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</si>
  <si>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</si>
  <si>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</si>
  <si>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</si>
  <si>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</si>
  <si>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</si>
  <si>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</si>
  <si>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</si>
  <si>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</si>
  <si>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</si>
  <si>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</si>
  <si>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</si>
  <si>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</si>
  <si>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</si>
  <si>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</si>
  <si>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</si>
  <si>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</si>
  <si>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</si>
  <si>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</si>
  <si>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</si>
  <si>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</si>
  <si>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</si>
  <si>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</si>
  <si>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</si>
  <si>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</si>
  <si>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</si>
  <si>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</si>
  <si>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</si>
  <si>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</si>
  <si>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</si>
  <si>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</si>
  <si>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</si>
  <si>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</si>
  <si>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</si>
  <si>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</si>
  <si>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</si>
  <si>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</si>
  <si>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</si>
  <si>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</si>
  <si>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</si>
  <si>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</si>
  <si>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</si>
  <si>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</si>
  <si>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</si>
  <si>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</si>
  <si>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</si>
  <si>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</si>
  <si>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</si>
  <si>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</si>
  <si>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</si>
  <si>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</si>
  <si>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</si>
  <si>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</si>
  <si>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</si>
  <si>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</si>
  <si>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</si>
  <si>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</si>
  <si>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</si>
  <si>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</si>
  <si>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</si>
  <si>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</si>
  <si>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</si>
  <si>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</si>
  <si>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</si>
  <si>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</si>
  <si>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</si>
  <si>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</si>
  <si>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</si>
  <si>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</si>
  <si>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</si>
  <si>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</si>
  <si>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</si>
  <si>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</si>
  <si>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</si>
  <si>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</si>
  <si>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</si>
  <si>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</si>
  <si>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</si>
  <si>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</si>
  <si>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</si>
  <si>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</si>
  <si>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</si>
  <si>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</si>
  <si>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</si>
  <si>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</si>
  <si>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</si>
  <si>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</si>
  <si>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</si>
  <si>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</si>
  <si>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</si>
  <si>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</si>
  <si>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</si>
  <si>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</si>
  <si>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</si>
  <si>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</si>
  <si>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</si>
  <si>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</si>
  <si>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</si>
  <si>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</si>
  <si>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</si>
  <si>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</si>
  <si>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</si>
  <si>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</si>
  <si>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</si>
  <si>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</si>
  <si>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</si>
  <si>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</si>
  <si>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</si>
  <si>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</si>
  <si>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</si>
  <si>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</si>
  <si>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</si>
  <si>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</si>
  <si>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</si>
  <si>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</si>
  <si>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</si>
  <si>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</si>
  <si>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</si>
  <si>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</si>
  <si>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</si>
  <si>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</si>
  <si>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</si>
  <si>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</si>
  <si>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</si>
  <si>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</si>
  <si>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</si>
  <si>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</si>
  <si>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</si>
  <si>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</si>
  <si>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</si>
  <si>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</si>
  <si>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</si>
  <si>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</si>
  <si>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</si>
  <si>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</si>
  <si>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</si>
  <si>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</si>
  <si>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</si>
  <si>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</si>
  <si>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</si>
  <si>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</si>
  <si>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</si>
  <si>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</si>
  <si>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</si>
  <si>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</si>
  <si>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</si>
  <si>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</si>
  <si>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</si>
  <si>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</si>
  <si>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</si>
  <si>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</si>
  <si>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</si>
  <si>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</si>
  <si>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</si>
  <si>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</si>
  <si>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</si>
  <si>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</si>
  <si>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</si>
  <si>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</si>
  <si>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</si>
  <si>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</si>
  <si>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</si>
  <si>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</si>
  <si>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</si>
  <si>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</si>
  <si>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</si>
  <si>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</si>
  <si>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</si>
  <si>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</si>
  <si>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</si>
  <si>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</si>
  <si>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</si>
  <si>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</si>
  <si>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</si>
  <si>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</si>
  <si>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</si>
  <si>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</si>
  <si>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</si>
  <si>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</si>
  <si>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</si>
  <si>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</si>
  <si>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</si>
  <si>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</si>
  <si>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</si>
  <si>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</si>
  <si>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</si>
  <si>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</si>
  <si>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</si>
  <si>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</si>
  <si>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</si>
  <si>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</si>
  <si>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</si>
  <si>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</si>
  <si>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</si>
  <si>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</si>
  <si>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</si>
  <si>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</si>
  <si>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</si>
  <si>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</si>
  <si>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</si>
  <si>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</si>
  <si>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</si>
  <si>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</si>
  <si>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</si>
  <si>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</si>
  <si>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</si>
  <si>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</si>
  <si>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</si>
  <si>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</si>
  <si>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</si>
  <si>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</si>
  <si>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</si>
  <si>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</si>
  <si>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</si>
  <si>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</si>
  <si>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</si>
  <si>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</si>
  <si>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</si>
  <si>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</si>
  <si>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</si>
  <si>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</si>
  <si>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</si>
  <si>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</si>
  <si>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</si>
  <si>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</si>
  <si>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</si>
  <si>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</si>
  <si>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</si>
  <si>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</si>
  <si>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</si>
  <si>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</si>
  <si>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</si>
  <si>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</si>
  <si>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</si>
  <si>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</si>
  <si>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</si>
  <si>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</si>
  <si>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</si>
  <si>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</si>
  <si>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</si>
  <si>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</si>
  <si>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</si>
  <si>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</si>
  <si>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</si>
  <si>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</si>
  <si>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</si>
  <si>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</si>
  <si>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</si>
  <si>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</si>
  <si>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</si>
  <si>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</si>
  <si>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</si>
  <si>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</si>
  <si>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</si>
  <si>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</si>
  <si>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</si>
  <si>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</si>
  <si>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</si>
  <si>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</si>
  <si>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</si>
  <si>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</si>
  <si>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</si>
  <si>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</si>
  <si>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</si>
  <si>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</si>
  <si>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</si>
  <si>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</si>
  <si>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</si>
  <si>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</si>
  <si>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</si>
  <si>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</si>
  <si>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</si>
  <si>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</si>
  <si>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</si>
  <si>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</si>
  <si>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</si>
  <si>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</si>
  <si>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</si>
  <si>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</si>
  <si>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</si>
  <si>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</si>
  <si>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</si>
  <si>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</si>
  <si>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</si>
  <si>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</si>
  <si>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</si>
  <si>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</si>
  <si>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</si>
  <si>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</si>
  <si>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</si>
  <si>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</si>
  <si>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</si>
  <si>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</si>
  <si>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</si>
  <si>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</si>
  <si>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</si>
  <si>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</si>
  <si>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</si>
  <si>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</si>
  <si>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</si>
  <si>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</si>
  <si>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</si>
  <si>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</si>
  <si>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</si>
  <si>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</si>
  <si>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</si>
  <si>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</si>
  <si>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</si>
  <si>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</si>
  <si>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</si>
  <si>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</si>
  <si>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</si>
  <si>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</si>
  <si>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</si>
  <si>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</si>
  <si>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</si>
  <si>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</si>
  <si>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</si>
  <si>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</si>
  <si>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</si>
  <si>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</si>
  <si>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</si>
  <si>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</si>
  <si>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</si>
  <si>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</si>
  <si>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</si>
  <si>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</si>
  <si>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</si>
  <si>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</si>
  <si>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</si>
  <si>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</si>
  <si>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</si>
  <si>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</si>
  <si>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</si>
  <si>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</si>
  <si>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</si>
  <si>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</si>
  <si>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</si>
  <si>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</si>
  <si>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</si>
  <si>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</si>
  <si>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</si>
  <si>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</si>
  <si>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</si>
  <si>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</si>
  <si>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</si>
  <si>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</si>
  <si>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</si>
  <si>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</si>
  <si>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</si>
  <si>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</si>
  <si>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</si>
  <si>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</si>
  <si>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</si>
  <si>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</si>
  <si>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</si>
  <si>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</si>
  <si>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</si>
  <si>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</si>
  <si>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</si>
  <si>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</si>
  <si>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</si>
  <si>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</si>
  <si>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</si>
  <si>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</si>
  <si>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</si>
  <si>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</si>
  <si>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</si>
  <si>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</si>
  <si>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</si>
  <si>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</si>
  <si>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</si>
  <si>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</si>
  <si>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</si>
  <si>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</si>
  <si>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</si>
  <si>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</si>
  <si>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</si>
  <si>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</si>
  <si>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</si>
  <si>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</si>
  <si>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</si>
  <si>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</si>
  <si>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</si>
  <si>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</si>
  <si>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</si>
  <si>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</si>
  <si>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</si>
  <si>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</si>
  <si>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</si>
  <si>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</si>
  <si>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</si>
  <si>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</si>
  <si>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</si>
  <si>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</si>
  <si>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</si>
  <si>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</si>
  <si>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</si>
  <si>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</si>
  <si>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</si>
  <si>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</si>
  <si>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</si>
  <si>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</si>
  <si>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</si>
  <si>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</si>
  <si>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</si>
  <si>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</si>
  <si>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</si>
  <si>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</si>
  <si>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</si>
  <si>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</si>
  <si>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</si>
  <si>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</si>
  <si>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</si>
  <si>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</si>
  <si>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</si>
  <si>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</si>
  <si>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</si>
  <si>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</si>
  <si>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</si>
  <si>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</si>
  <si>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</si>
  <si>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</si>
  <si>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</si>
  <si>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</si>
  <si>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</si>
  <si>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</si>
  <si>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</si>
  <si>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</si>
  <si>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</si>
  <si>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</si>
  <si>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</si>
  <si>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</si>
  <si>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</si>
  <si>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</si>
  <si>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</si>
  <si>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</si>
  <si>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</si>
  <si>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</si>
  <si>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</si>
  <si>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</si>
  <si>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</si>
  <si>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</si>
  <si>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</si>
  <si>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</si>
  <si>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</si>
  <si>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</si>
  <si>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</si>
  <si>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</si>
  <si>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</si>
  <si>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</si>
  <si>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</si>
  <si>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</si>
  <si>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</si>
  <si>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</si>
  <si>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</si>
  <si>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</si>
  <si>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</si>
  <si>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</si>
  <si>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</si>
  <si>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</si>
  <si>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</si>
  <si>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</si>
  <si>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</si>
  <si>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</si>
  <si>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</si>
  <si>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</si>
  <si>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</si>
  <si>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</si>
  <si>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</si>
  <si>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</si>
  <si>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</si>
  <si>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</si>
  <si>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</si>
  <si>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</si>
  <si>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</si>
  <si>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</si>
  <si>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</si>
  <si>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</si>
  <si>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</si>
  <si>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</si>
  <si>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</si>
  <si>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</si>
  <si>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</si>
  <si>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</si>
  <si>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</si>
  <si>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</si>
  <si>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</si>
  <si>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</si>
  <si>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</si>
  <si>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</si>
  <si>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</si>
  <si>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</si>
  <si>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</si>
  <si>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</si>
  <si>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</si>
  <si>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</si>
  <si>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</si>
  <si>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</si>
  <si>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</si>
  <si>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</si>
  <si>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</si>
  <si>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</si>
  <si>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</si>
  <si>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</si>
  <si>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</si>
  <si>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</si>
  <si>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</si>
  <si>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</si>
  <si>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</si>
  <si>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</si>
  <si>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</si>
  <si>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</si>
  <si>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</si>
  <si>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</si>
  <si>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</si>
  <si>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</si>
  <si>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</si>
  <si>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</si>
  <si>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</si>
  <si>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</si>
  <si>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</si>
  <si>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</si>
  <si>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</si>
  <si>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</si>
  <si>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</si>
  <si>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</si>
  <si>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</si>
  <si>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</si>
  <si>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</si>
  <si>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</si>
  <si>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</si>
  <si>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</si>
  <si>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</si>
  <si>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</si>
  <si>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</si>
  <si>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</si>
  <si>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</si>
  <si>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</si>
  <si>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</si>
  <si>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</si>
  <si>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</si>
  <si>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</si>
  <si>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</si>
  <si>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</si>
  <si>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</si>
  <si>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</si>
  <si>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</si>
  <si>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</si>
  <si>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</si>
  <si>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</si>
  <si>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</si>
  <si>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</si>
  <si>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</si>
  <si>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</si>
  <si>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</si>
  <si>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</si>
  <si>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</si>
  <si>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</si>
  <si>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</si>
  <si>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</si>
  <si>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</si>
  <si>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</si>
  <si>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</si>
  <si>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</si>
  <si>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</si>
  <si>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</si>
  <si>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</si>
  <si>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</si>
  <si>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</si>
  <si>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</si>
  <si>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</si>
  <si>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</si>
  <si>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</si>
  <si>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</si>
  <si>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</si>
  <si>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</si>
  <si>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</si>
  <si>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</si>
  <si>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</si>
  <si>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</si>
  <si>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</si>
  <si>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</si>
  <si>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</si>
  <si>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</si>
  <si>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</si>
  <si>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</si>
  <si>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</si>
  <si>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</si>
  <si>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</si>
  <si>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</si>
  <si>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</si>
  <si>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</si>
  <si>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</si>
  <si>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</si>
  <si>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</si>
  <si>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</si>
  <si>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</si>
  <si>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</si>
  <si>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</si>
  <si>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</si>
  <si>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</si>
  <si>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</si>
  <si>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</si>
  <si>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</si>
  <si>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</si>
  <si>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</si>
  <si>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</si>
  <si>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</si>
  <si>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</si>
  <si>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</si>
  <si>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</si>
  <si>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</si>
  <si>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</si>
  <si>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</si>
  <si>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</si>
  <si>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</si>
  <si>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</si>
  <si>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</si>
  <si>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</si>
  <si>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</si>
  <si>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</si>
  <si>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</si>
  <si>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</si>
  <si>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</si>
  <si>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</si>
  <si>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</si>
  <si>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</si>
  <si>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</si>
  <si>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</si>
  <si>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</si>
  <si>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</si>
  <si>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</si>
  <si>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</si>
  <si>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</si>
  <si>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</si>
  <si>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</si>
  <si>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</si>
  <si>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</si>
  <si>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</si>
  <si>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</si>
  <si>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</si>
  <si>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</si>
  <si>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</si>
  <si>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</si>
  <si>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</si>
  <si>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</si>
  <si>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</si>
  <si>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</si>
  <si>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</si>
  <si>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</si>
  <si>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</si>
  <si>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</si>
  <si>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</si>
  <si>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</si>
  <si>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</si>
  <si>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</si>
  <si>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</si>
  <si>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</si>
  <si>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</si>
  <si>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</si>
  <si>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</si>
  <si>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</si>
  <si>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</si>
  <si>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</si>
  <si>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</si>
  <si>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</si>
  <si>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</si>
  <si>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</si>
  <si>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</si>
  <si>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</si>
  <si>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</si>
  <si>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</si>
  <si>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</si>
  <si>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</si>
  <si>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</si>
  <si>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</si>
  <si>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</si>
  <si>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</si>
  <si>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</si>
  <si>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</si>
  <si>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</si>
  <si>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</si>
  <si>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</si>
  <si>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</si>
  <si>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</si>
  <si>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</si>
  <si>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</si>
  <si>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</si>
  <si>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</si>
  <si>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</si>
  <si>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</si>
  <si>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</si>
  <si>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</si>
  <si>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</si>
  <si>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</si>
  <si>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</si>
  <si>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</si>
  <si>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</si>
  <si>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</si>
  <si>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</si>
  <si>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</si>
  <si>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</si>
  <si>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</si>
  <si>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</si>
  <si>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</si>
  <si>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</si>
  <si>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</si>
  <si>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</si>
  <si>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</si>
  <si>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</si>
  <si>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</si>
  <si>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</si>
  <si>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</si>
  <si>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</si>
  <si>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</si>
  <si>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</si>
  <si>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</si>
  <si>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</si>
  <si>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</si>
  <si>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</si>
  <si>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</si>
  <si>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</si>
  <si>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</si>
  <si>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</si>
  <si>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</si>
  <si>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</si>
  <si>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</si>
  <si>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</si>
  <si>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</si>
  <si>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</si>
  <si>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</si>
  <si>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</si>
  <si>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</si>
  <si>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</si>
  <si>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</si>
  <si>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</si>
  <si>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</si>
  <si>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</si>
  <si>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</si>
  <si>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</si>
  <si>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</si>
  <si>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</si>
  <si>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</si>
  <si>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</si>
  <si>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</si>
  <si>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</si>
  <si>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</si>
  <si>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</si>
  <si>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</si>
  <si>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</si>
  <si>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</si>
  <si>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</si>
  <si>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</si>
  <si>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</si>
  <si>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</si>
  <si>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</si>
  <si>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</si>
  <si>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</si>
  <si>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</si>
  <si>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</si>
  <si>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</si>
  <si>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</si>
  <si>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</si>
  <si>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</si>
  <si>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</si>
  <si>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</si>
  <si>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</si>
  <si>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</si>
  <si>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</si>
  <si>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</si>
  <si>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</si>
  <si>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</si>
  <si>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</si>
  <si>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</si>
  <si>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</si>
  <si>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</si>
  <si>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</si>
  <si>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</si>
  <si>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</si>
  <si>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</si>
  <si>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</si>
  <si>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</si>
  <si>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</si>
  <si>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</si>
  <si>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</si>
  <si>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</si>
  <si>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</si>
  <si>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</si>
  <si>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</si>
  <si>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</si>
  <si>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</si>
  <si>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</si>
  <si>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</si>
  <si>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</si>
  <si>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</si>
  <si>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</si>
  <si>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</si>
  <si>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</si>
  <si>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</si>
  <si>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</si>
  <si>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</si>
  <si>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</si>
  <si>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</si>
  <si>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</si>
  <si>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</si>
  <si>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</si>
  <si>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</si>
  <si>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</si>
  <si>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</si>
  <si>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</si>
  <si>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</si>
  <si>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</si>
  <si>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</si>
  <si>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</si>
  <si>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</si>
  <si>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</si>
  <si>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</si>
  <si>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</si>
  <si>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</si>
  <si>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</si>
  <si>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</si>
  <si>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</si>
  <si>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</si>
  <si>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</si>
  <si>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</si>
  <si>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</si>
  <si>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</si>
  <si>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</si>
  <si>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</si>
  <si>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</si>
  <si>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</si>
  <si>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</si>
  <si>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</si>
  <si>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</si>
  <si>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</si>
  <si>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</si>
  <si>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</si>
  <si>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</si>
  <si>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</si>
  <si>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</si>
  <si>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</si>
  <si>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</si>
  <si>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</si>
  <si>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</si>
  <si>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</si>
  <si>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</si>
  <si>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</si>
  <si>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</si>
  <si>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</si>
  <si>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</si>
  <si>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</si>
  <si>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</si>
  <si>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</si>
  <si>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</si>
  <si>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</si>
  <si>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</si>
  <si>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</si>
  <si>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</si>
  <si>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</si>
  <si>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</si>
  <si>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</si>
  <si>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</si>
  <si>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</si>
  <si>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</si>
  <si>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</si>
  <si>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</si>
  <si>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</si>
  <si>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</si>
  <si>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</si>
  <si>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</si>
  <si>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</si>
  <si>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</si>
  <si>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</si>
  <si>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</si>
  <si>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</si>
  <si>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</si>
  <si>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</si>
  <si>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</si>
  <si>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</si>
  <si>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</si>
  <si>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</si>
  <si>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</si>
  <si>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</si>
  <si>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</si>
  <si>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</si>
  <si>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</si>
  <si>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</si>
  <si>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</si>
  <si>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</si>
  <si>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</si>
  <si>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</si>
  <si>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</si>
  <si>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</si>
  <si>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</si>
  <si>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</si>
  <si>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</si>
  <si>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</si>
  <si>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</si>
  <si>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</si>
  <si>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</si>
  <si>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</si>
  <si>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</si>
  <si>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</si>
  <si>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</si>
  <si>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</si>
  <si>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</si>
  <si>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</si>
  <si>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</si>
  <si>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</si>
  <si>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</si>
  <si>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</si>
  <si>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</si>
  <si>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</si>
  <si>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</si>
  <si>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</si>
  <si>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</si>
  <si>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</si>
  <si>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</si>
  <si>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</si>
  <si>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</si>
  <si>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</si>
  <si>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</si>
  <si>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</si>
  <si>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</si>
  <si>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</si>
  <si>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</si>
  <si>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</si>
  <si>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</si>
  <si>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</si>
  <si>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</si>
  <si>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</si>
  <si>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</si>
  <si>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</si>
  <si>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</si>
  <si>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</si>
  <si>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</si>
  <si>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</si>
  <si>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</si>
  <si>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</si>
  <si>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</si>
  <si>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</si>
  <si>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</si>
  <si>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</si>
  <si>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</si>
  <si>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</si>
  <si>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</si>
  <si>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</si>
  <si>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</si>
  <si>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</si>
  <si>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</si>
  <si>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</si>
  <si>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</si>
  <si>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</si>
  <si>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</si>
  <si>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</si>
  <si>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</si>
  <si>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</si>
  <si>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</si>
  <si>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</si>
  <si>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</si>
  <si>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</si>
  <si>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</si>
  <si>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</si>
  <si>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</si>
  <si>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</si>
  <si>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</si>
  <si>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</si>
  <si>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</si>
  <si>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</si>
  <si>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</si>
  <si>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</si>
  <si>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</si>
  <si>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</si>
  <si>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</si>
  <si>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</si>
  <si>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</si>
  <si>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</si>
  <si>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</si>
  <si>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</si>
  <si>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</si>
  <si>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</si>
  <si>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</si>
  <si>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</si>
  <si>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</si>
  <si>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</si>
  <si>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</si>
  <si>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</si>
  <si>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</si>
  <si>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</si>
  <si>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</si>
  <si>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</si>
  <si>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</si>
  <si>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</si>
  <si>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</si>
  <si>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</si>
  <si>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</si>
  <si>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</si>
  <si>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</si>
  <si>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</si>
  <si>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</si>
  <si>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</si>
  <si>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</si>
  <si>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</si>
  <si>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</si>
  <si>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</si>
  <si>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</si>
  <si>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</si>
  <si>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</si>
  <si>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</si>
  <si>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</si>
  <si>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</si>
  <si>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</si>
  <si>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</si>
  <si>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</si>
  <si>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</si>
  <si>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</si>
  <si>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</si>
  <si>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</si>
  <si>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</si>
  <si>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</si>
  <si>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</si>
  <si>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</si>
  <si>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</si>
  <si>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</si>
  <si>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</si>
  <si>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</si>
  <si>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</si>
  <si>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</si>
  <si>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</si>
  <si>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</si>
  <si>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</si>
  <si>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</si>
  <si>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</si>
  <si>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</si>
  <si>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</si>
  <si>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</si>
  <si>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</si>
  <si>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</si>
  <si>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</si>
  <si>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</si>
  <si>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</si>
  <si>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</si>
  <si>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</si>
  <si>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</si>
  <si>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</si>
  <si>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</si>
  <si>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</si>
  <si>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</si>
  <si>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</si>
  <si>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</si>
  <si>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</si>
  <si>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</si>
  <si>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</si>
  <si>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</si>
  <si>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</si>
  <si>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</si>
  <si>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</si>
  <si>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</si>
  <si>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</si>
  <si>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</si>
  <si>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</si>
  <si>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</si>
  <si>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</si>
  <si>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</si>
  <si>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</si>
  <si>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</si>
  <si>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</si>
  <si>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</si>
  <si>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</si>
  <si>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</si>
  <si>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</si>
  <si>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</si>
  <si>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</si>
  <si>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</si>
  <si>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</si>
  <si>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</si>
  <si>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</si>
  <si>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</si>
  <si>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</si>
  <si>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</si>
  <si>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</si>
  <si>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</si>
  <si>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</si>
  <si>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</si>
  <si>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</si>
  <si>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</si>
  <si>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</si>
  <si>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</si>
  <si>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</si>
  <si>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</si>
  <si>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</si>
  <si>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</si>
  <si>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</si>
  <si>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</si>
  <si>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</si>
  <si>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</si>
  <si>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</si>
  <si>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</si>
  <si>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</si>
  <si>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</si>
  <si>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</si>
  <si>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</si>
  <si>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</si>
  <si>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</si>
  <si>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</si>
  <si>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</si>
  <si>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</si>
  <si>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</si>
  <si>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</si>
  <si>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</si>
  <si>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</si>
  <si>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</si>
  <si>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</si>
  <si>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</si>
  <si>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</si>
  <si>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</si>
  <si>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</si>
  <si>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</si>
  <si>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</si>
  <si>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</si>
  <si>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</si>
  <si>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</si>
  <si>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</si>
  <si>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</si>
  <si>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</si>
  <si>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</si>
  <si>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</si>
  <si>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</si>
  <si>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</si>
  <si>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</si>
  <si>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</si>
  <si>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</si>
  <si>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</si>
  <si>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</si>
  <si>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</si>
  <si>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</si>
  <si>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</si>
  <si>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</si>
  <si>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</si>
  <si>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</si>
  <si>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</si>
  <si>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</si>
  <si>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</si>
  <si>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</si>
  <si>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</si>
  <si>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</si>
  <si>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</si>
  <si>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</si>
  <si>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</si>
  <si>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</si>
  <si>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</si>
  <si>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</si>
  <si>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</si>
  <si>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</si>
  <si>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</si>
  <si>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</si>
  <si>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</si>
  <si>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</si>
  <si>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</si>
  <si>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</si>
  <si>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</si>
  <si>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</si>
  <si>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</si>
  <si>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</si>
  <si>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</si>
  <si>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</si>
  <si>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</si>
  <si>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</si>
  <si>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</si>
  <si>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</si>
  <si>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</si>
  <si>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</si>
  <si>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</si>
  <si>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</si>
  <si>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</si>
  <si>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</si>
  <si>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</si>
  <si>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</si>
  <si>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</si>
  <si>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</si>
  <si>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</si>
  <si>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</si>
  <si>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</si>
  <si>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</si>
  <si>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</si>
  <si>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</si>
  <si>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</si>
  <si>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</si>
  <si>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</si>
  <si>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</si>
  <si>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</si>
  <si>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</si>
  <si>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</si>
  <si>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</si>
  <si>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</si>
  <si>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</si>
  <si>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</si>
  <si>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</si>
  <si>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</si>
  <si>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</si>
  <si>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</si>
  <si>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</si>
  <si>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</si>
  <si>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</si>
  <si>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</si>
  <si>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</si>
  <si>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</si>
  <si>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</si>
  <si>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</si>
  <si>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</si>
  <si>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</si>
  <si>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</si>
  <si>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</si>
  <si>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</si>
  <si>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</si>
  <si>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</si>
  <si>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</si>
  <si>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</si>
  <si>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</si>
  <si>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</si>
  <si>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</si>
  <si>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</si>
  <si>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</si>
  <si>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</si>
  <si>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</si>
  <si>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</si>
  <si>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</si>
  <si>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</si>
  <si>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</si>
  <si>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</si>
  <si>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</si>
  <si>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</si>
  <si>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</si>
  <si>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</si>
  <si>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</si>
  <si>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</si>
  <si>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</si>
  <si>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</si>
  <si>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</si>
  <si>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</si>
  <si>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</si>
  <si>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</si>
  <si>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</si>
  <si>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</si>
  <si>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</si>
  <si>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</si>
  <si>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</si>
  <si>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</si>
  <si>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</si>
  <si>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</si>
  <si>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</si>
  <si>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</si>
  <si>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</si>
  <si>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</si>
  <si>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</si>
  <si>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</si>
  <si>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</si>
  <si>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</si>
  <si>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</si>
  <si>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</si>
  <si>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</si>
  <si>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</si>
  <si>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</si>
  <si>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</si>
  <si>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</si>
  <si>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</si>
  <si>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</si>
  <si>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</si>
  <si>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</si>
  <si>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</si>
  <si>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</si>
  <si>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</si>
  <si>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</si>
  <si>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</si>
  <si>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</si>
  <si>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</si>
  <si>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</si>
  <si>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</si>
  <si>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</si>
  <si>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</si>
  <si>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</si>
  <si>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</si>
  <si>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</si>
  <si>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</si>
  <si>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</si>
  <si>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</si>
  <si>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</si>
  <si>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</si>
  <si>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</si>
  <si>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</si>
  <si>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</si>
  <si>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</si>
  <si>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</si>
  <si>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</si>
  <si>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</si>
  <si>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</si>
  <si>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</si>
  <si>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</si>
  <si>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</si>
  <si>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</si>
  <si>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</si>
  <si>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</si>
  <si>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</si>
  <si>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</si>
  <si>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</si>
  <si>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</si>
  <si>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</si>
  <si>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</si>
  <si>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</si>
  <si>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</si>
  <si>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</si>
  <si>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</si>
  <si>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</si>
  <si>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</si>
  <si>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</si>
  <si>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</si>
  <si>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</si>
  <si>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</si>
  <si>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</si>
  <si>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</si>
  <si>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</si>
  <si>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</si>
  <si>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</si>
  <si>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</si>
  <si>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</si>
  <si>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</si>
  <si>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</si>
  <si>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</si>
  <si>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</si>
  <si>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</si>
  <si>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</si>
  <si>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</si>
  <si>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</si>
  <si>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</si>
  <si>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</si>
  <si>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</si>
  <si>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</si>
  <si>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</si>
  <si>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</si>
  <si>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</si>
  <si>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</si>
  <si>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</si>
  <si>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</si>
  <si>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</si>
  <si>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</si>
  <si>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</si>
  <si>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</si>
  <si>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</si>
  <si>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</si>
  <si>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</si>
  <si>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</si>
  <si>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</si>
  <si>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</si>
  <si>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</si>
  <si>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</si>
  <si>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</si>
  <si>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</si>
  <si>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</si>
  <si>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</si>
  <si>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</si>
  <si>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</si>
  <si>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</si>
  <si>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</si>
  <si>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</si>
  <si>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</si>
  <si>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</si>
  <si>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</si>
  <si>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</si>
  <si>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</si>
  <si>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</si>
  <si>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</si>
  <si>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</si>
  <si>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</si>
  <si>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</si>
  <si>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</si>
  <si>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</si>
  <si>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</si>
  <si>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</si>
  <si>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</si>
  <si>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</si>
  <si>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</si>
  <si>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</si>
  <si>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</si>
  <si>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</si>
  <si>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</si>
  <si>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</si>
  <si>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</si>
  <si>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</si>
  <si>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</si>
  <si>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</si>
  <si>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</si>
  <si>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</si>
  <si>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</si>
  <si>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</si>
  <si>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</si>
  <si>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</si>
  <si>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</si>
  <si>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</si>
  <si>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</si>
  <si>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</si>
  <si>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</si>
  <si>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</si>
  <si>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</si>
  <si>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</si>
  <si>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</si>
  <si>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</si>
  <si>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</si>
  <si>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</si>
  <si>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</si>
  <si>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</si>
  <si>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</si>
  <si>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</si>
  <si>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</si>
  <si>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</si>
  <si>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</si>
  <si>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</si>
  <si>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</si>
  <si>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</si>
  <si>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</si>
  <si>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</si>
  <si>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</si>
  <si>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</si>
  <si>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</si>
  <si>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</si>
  <si>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</si>
  <si>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</si>
  <si>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</si>
  <si>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</si>
  <si>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</si>
  <si>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</si>
  <si>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</si>
  <si>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</si>
  <si>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</si>
  <si>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</si>
  <si>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</si>
  <si>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</si>
  <si>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</si>
  <si>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</si>
  <si>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</si>
  <si>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</si>
  <si>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</si>
  <si>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</si>
  <si>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</si>
  <si>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</si>
  <si>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</si>
  <si>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</si>
  <si>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</si>
  <si>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</si>
  <si>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</si>
  <si>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</si>
  <si>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</si>
  <si>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</si>
  <si>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</si>
  <si>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</si>
  <si>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</si>
  <si>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</si>
  <si>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</si>
  <si>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</si>
  <si>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</si>
  <si>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</si>
  <si>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</si>
  <si>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</si>
  <si>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</si>
  <si>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</si>
  <si>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</si>
  <si>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</si>
  <si>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</si>
  <si>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</si>
  <si>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</si>
  <si>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</si>
  <si>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</si>
  <si>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</si>
  <si>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</si>
  <si>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</si>
  <si>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</si>
  <si>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</si>
  <si>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</si>
  <si>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</si>
  <si>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</si>
  <si>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</si>
  <si>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</si>
  <si>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</si>
  <si>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</si>
  <si>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</si>
  <si>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</si>
  <si>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</si>
  <si>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</si>
  <si>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</si>
  <si>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</si>
  <si>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</si>
  <si>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</si>
  <si>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</si>
  <si>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</si>
  <si>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</si>
  <si>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</si>
  <si>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</si>
  <si>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</si>
  <si>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</si>
  <si>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</si>
  <si>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</si>
  <si>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</si>
  <si>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</si>
  <si>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</si>
  <si>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</si>
  <si>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</si>
  <si>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</si>
  <si>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</si>
  <si>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</si>
  <si>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</si>
  <si>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</si>
  <si>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</si>
  <si>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</si>
  <si>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</si>
  <si>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</si>
  <si>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</si>
  <si>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</si>
  <si>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</si>
  <si>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</si>
  <si>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</si>
  <si>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</si>
  <si>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</si>
  <si>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</si>
  <si>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</si>
  <si>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</si>
  <si>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</si>
  <si>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</si>
  <si>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</si>
  <si>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</si>
  <si>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</si>
  <si>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</si>
  <si>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</si>
  <si>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</si>
  <si>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</si>
  <si>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</si>
  <si>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</si>
  <si>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</si>
  <si>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</si>
  <si>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</si>
  <si>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</si>
  <si>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</si>
  <si>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</si>
  <si>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</si>
  <si>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</si>
  <si>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</si>
  <si>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</si>
  <si>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</si>
  <si>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</si>
  <si>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</si>
  <si>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</si>
  <si>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</si>
  <si>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</si>
  <si>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</si>
  <si>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</si>
  <si>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</si>
  <si>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</si>
  <si>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</si>
  <si>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</si>
  <si>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</si>
  <si>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</si>
  <si>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</si>
  <si>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</si>
  <si>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</si>
  <si>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</si>
  <si>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</si>
  <si>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</si>
  <si>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</si>
  <si>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</si>
  <si>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</si>
  <si>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</si>
  <si>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</si>
  <si>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</si>
  <si>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</si>
  <si>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</si>
  <si>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</si>
  <si>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</si>
  <si>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</si>
  <si>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</si>
  <si>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</si>
  <si>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</si>
  <si>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</si>
  <si>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</si>
  <si>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</si>
  <si>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</si>
  <si>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</si>
  <si>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</si>
  <si>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</si>
  <si>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</si>
  <si>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</si>
  <si>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</si>
  <si>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</si>
  <si>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</si>
  <si>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</si>
  <si>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</si>
  <si>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</si>
  <si>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</si>
  <si>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</si>
  <si>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</si>
  <si>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</si>
  <si>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</si>
  <si>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</si>
  <si>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</si>
  <si>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</si>
  <si>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</si>
  <si>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</si>
  <si>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</si>
  <si>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</si>
  <si>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</si>
  <si>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</si>
  <si>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</si>
  <si>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</si>
  <si>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</si>
  <si>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</si>
  <si>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</si>
  <si>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</si>
  <si>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</si>
  <si>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</si>
  <si>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</si>
  <si>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</si>
  <si>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</si>
  <si>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</si>
  <si>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</si>
  <si>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</si>
  <si>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</si>
  <si>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</si>
  <si>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</si>
  <si>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</si>
  <si>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</si>
  <si>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</si>
  <si>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</si>
  <si>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</si>
  <si>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</si>
  <si>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</si>
  <si>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</si>
  <si>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</si>
  <si>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</si>
  <si>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</si>
  <si>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</si>
  <si>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</si>
  <si>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</si>
  <si>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</si>
  <si>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</si>
  <si>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</si>
  <si>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</si>
  <si>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</si>
  <si>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</si>
  <si>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</si>
  <si>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</si>
  <si>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</si>
  <si>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</si>
  <si>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</si>
  <si>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</si>
  <si>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</si>
  <si>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</si>
  <si>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</si>
  <si>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</si>
  <si>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</si>
  <si>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</si>
  <si>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</si>
  <si>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</si>
  <si>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</si>
  <si>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</si>
  <si>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</si>
  <si>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</si>
  <si>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</si>
  <si>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</si>
  <si>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</si>
  <si>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</si>
  <si>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</si>
  <si>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</si>
  <si>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</si>
  <si>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</si>
  <si>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</si>
  <si>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</si>
  <si>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</si>
  <si>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</si>
  <si>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</si>
  <si>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</si>
  <si>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</si>
  <si>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</si>
  <si>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</si>
  <si>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ضغدر3000 24000 تا 401</t>
  </si>
  <si>
    <t>علی تعهد دارد کلیه اختیار خریدها رو با قیمت اسمی به سهام تبدیل کند</t>
  </si>
  <si>
    <t>18/3/1400</t>
  </si>
  <si>
    <t>وغدیر 392920 تا 1052.8</t>
  </si>
  <si>
    <t>ضغدر3000 12000 تا 415</t>
  </si>
  <si>
    <t>ومهان 434 تا 1230.5</t>
  </si>
  <si>
    <t>طلب علی نوسانگیری و واریز نقدی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</si>
</sst>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abSelected="1" zoomScale="85" zoomScaleNormal="85" workbookViewId="0">
      <selection activeCell="M17" sqref="M17"/>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189" t="s">
        <v>4846</v>
      </c>
      <c r="B10" s="189">
        <v>2693179034</v>
      </c>
      <c r="C10" s="187">
        <v>20</v>
      </c>
      <c r="D10" s="187">
        <f t="shared" si="0"/>
        <v>0.50643589190707028</v>
      </c>
      <c r="E10" s="189">
        <v>620</v>
      </c>
      <c r="F10" s="189">
        <f t="shared" si="1"/>
        <v>15.699512649119178</v>
      </c>
      <c r="G10" s="189"/>
      <c r="H10" s="189"/>
      <c r="I10" s="219">
        <v>750</v>
      </c>
      <c r="J10" s="219">
        <f t="shared" si="2"/>
        <v>18.991345946515136</v>
      </c>
      <c r="K10" s="195"/>
      <c r="L10" s="195">
        <f t="shared" si="3"/>
        <v>0</v>
      </c>
      <c r="M10" s="195">
        <v>5030</v>
      </c>
      <c r="N10" s="195">
        <f t="shared" si="4"/>
        <v>127.36862681462817</v>
      </c>
      <c r="O10" s="94">
        <f t="shared" si="5"/>
        <v>41.228913606913579</v>
      </c>
      <c r="P10" s="94">
        <f t="shared" si="6"/>
        <v>49.873685814814813</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3.0074006855333915</v>
      </c>
      <c r="I25" s="207"/>
      <c r="J25" s="207">
        <f>SUM(J2:J22)</f>
        <v>390.62495347212229</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7"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21"/>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 t="shared" si="21"/>
        <v>31.349628055260361</v>
      </c>
      <c r="D157" s="239">
        <v>15000</v>
      </c>
      <c r="E157" s="32">
        <f t="shared" ref="E157:E159" si="23">B157*1000/D157</f>
        <v>164.8</v>
      </c>
      <c r="F157" s="18">
        <v>6600000</v>
      </c>
      <c r="G157" s="207">
        <f t="shared" si="22"/>
        <v>374.54545454545456</v>
      </c>
      <c r="R157" t="s">
        <v>25</v>
      </c>
    </row>
    <row r="158" spans="1:20">
      <c r="A158" s="315">
        <v>1399</v>
      </c>
      <c r="B158" s="316">
        <v>3350</v>
      </c>
      <c r="C158" s="32">
        <v>30</v>
      </c>
      <c r="D158" s="239">
        <v>25000</v>
      </c>
      <c r="E158" s="32">
        <f t="shared" si="23"/>
        <v>134</v>
      </c>
      <c r="F158" s="18">
        <v>12000000</v>
      </c>
      <c r="G158" s="207">
        <f t="shared" si="22"/>
        <v>279.16666666666669</v>
      </c>
      <c r="O158" t="s">
        <v>25</v>
      </c>
    </row>
    <row r="159" spans="1:20">
      <c r="A159" s="315">
        <v>1400</v>
      </c>
      <c r="B159" s="316">
        <f>B158*(1+C158/100)</f>
        <v>4355</v>
      </c>
      <c r="C159" s="32">
        <f t="shared" ref="C159" si="24">B159-B158</f>
        <v>1005</v>
      </c>
      <c r="D159" s="239">
        <v>32000</v>
      </c>
      <c r="E159" s="32">
        <f t="shared" si="23"/>
        <v>136.09375</v>
      </c>
      <c r="F159" s="18">
        <v>15000000</v>
      </c>
      <c r="G159" s="207">
        <f t="shared" si="22"/>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I175" zoomScale="80" zoomScaleNormal="80" workbookViewId="0">
      <selection activeCell="Q189" sqref="Q18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1068</v>
      </c>
      <c r="AM20" s="111">
        <f>AJ20*AL20</f>
        <v>19224000000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4915108716.7507114</v>
      </c>
      <c r="M21" s="166" t="s">
        <v>4275</v>
      </c>
      <c r="N21" s="111">
        <f>O21*P21</f>
        <v>2704091010</v>
      </c>
      <c r="O21" s="97">
        <v>2602590</v>
      </c>
      <c r="P21" s="183">
        <f>P50</f>
        <v>1039</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1067</v>
      </c>
      <c r="AM21" s="111">
        <f t="shared" ref="AM21:AM120" si="10">AJ21*AL21</f>
        <v>2667500000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1066</v>
      </c>
      <c r="AM22" s="111">
        <f t="shared" si="10"/>
        <v>8528000000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62211800</v>
      </c>
      <c r="O23" s="97">
        <v>33628</v>
      </c>
      <c r="P23" s="183">
        <f>P51</f>
        <v>1850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1065</v>
      </c>
      <c r="AM23" s="111">
        <f t="shared" si="10"/>
        <v>-84722880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4779788091.7507114</v>
      </c>
      <c r="G24" s="93">
        <f t="shared" si="0"/>
        <v>-4499481746.3687725</v>
      </c>
      <c r="H24" s="11"/>
      <c r="I24" s="94"/>
      <c r="J24" s="94"/>
      <c r="K24" s="207"/>
      <c r="L24" s="115"/>
      <c r="M24" s="207" t="s">
        <v>4357</v>
      </c>
      <c r="N24" s="111">
        <f>O24*P24</f>
        <v>36825000</v>
      </c>
      <c r="O24" s="97">
        <v>2455</v>
      </c>
      <c r="P24" s="183">
        <f>P48</f>
        <v>15000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1064</v>
      </c>
      <c r="AM24" s="111">
        <f t="shared" si="10"/>
        <v>176092000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1052</v>
      </c>
      <c r="AM25" s="111">
        <f t="shared" si="10"/>
        <v>-30329504004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1046</v>
      </c>
      <c r="AM26" s="111">
        <f t="shared" si="10"/>
        <v>19351000000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1045</v>
      </c>
      <c r="AM27" s="111">
        <f t="shared" si="10"/>
        <v>-19384750000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1044</v>
      </c>
      <c r="AM28" s="111">
        <f t="shared" si="10"/>
        <v>-67819284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1039</v>
      </c>
      <c r="AM29" s="111">
        <f t="shared" si="10"/>
        <v>6649600000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15000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1038</v>
      </c>
      <c r="AM30" s="111">
        <f t="shared" si="10"/>
        <v>-176460000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321452054</v>
      </c>
      <c r="O31" s="67">
        <v>309386</v>
      </c>
      <c r="P31" s="97">
        <f>P50</f>
        <v>1039</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1033</v>
      </c>
      <c r="AM31" s="111">
        <f t="shared" si="10"/>
        <v>-6507900000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1032</v>
      </c>
      <c r="AM32" s="111">
        <f t="shared" si="10"/>
        <v>-53679480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1016</v>
      </c>
      <c r="AM33" s="111">
        <f t="shared" si="10"/>
        <v>20337678400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-W165</f>
        <v>-4915108716.7507114</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1016</v>
      </c>
      <c r="AM34" s="111">
        <f t="shared" si="10"/>
        <v>1030697456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1004</v>
      </c>
      <c r="AM35" s="111">
        <f t="shared" si="10"/>
        <v>361440000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1002</v>
      </c>
      <c r="AM36" s="111">
        <f t="shared" si="10"/>
        <v>-350700000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1002</v>
      </c>
      <c r="AM37" s="111">
        <f t="shared" si="10"/>
        <v>1002000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1001</v>
      </c>
      <c r="AM38" s="111">
        <f t="shared" si="10"/>
        <v>33643610000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997</v>
      </c>
      <c r="AM39" s="111">
        <f t="shared" si="10"/>
        <v>-15553200000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994</v>
      </c>
      <c r="AM40" s="111">
        <f t="shared" si="10"/>
        <v>7455000000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-14181311</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990</v>
      </c>
      <c r="AM41" s="111">
        <f t="shared" si="10"/>
        <v>-97020000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101927761</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989</v>
      </c>
      <c r="AM42" s="111">
        <f t="shared" si="10"/>
        <v>-25714000000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989</v>
      </c>
      <c r="AM43" s="111">
        <f t="shared" si="10"/>
        <v>24725000000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37799859</v>
      </c>
      <c r="O44" s="67">
        <v>36381</v>
      </c>
      <c r="P44" s="67">
        <f>P50</f>
        <v>1039</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988</v>
      </c>
      <c r="AM44" s="111">
        <f t="shared" si="10"/>
        <v>108680000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76560000</v>
      </c>
      <c r="O45" s="67">
        <v>176000</v>
      </c>
      <c r="P45" s="67">
        <v>435</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987</v>
      </c>
      <c r="AM45" s="111">
        <f t="shared" si="10"/>
        <v>375060000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980</v>
      </c>
      <c r="AM46" s="111">
        <f t="shared" si="10"/>
        <v>441000000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974</v>
      </c>
      <c r="AM47" s="111">
        <f t="shared" si="10"/>
        <v>2727200000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20780000</v>
      </c>
      <c r="M48" s="19" t="s">
        <v>4357</v>
      </c>
      <c r="N48" s="115">
        <f t="shared" si="26"/>
        <v>6855000</v>
      </c>
      <c r="O48" s="67">
        <v>457</v>
      </c>
      <c r="P48" s="67">
        <v>15000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973</v>
      </c>
      <c r="AM48" s="111">
        <f t="shared" si="10"/>
        <v>-1459500000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973</v>
      </c>
      <c r="AM49" s="111">
        <f t="shared" si="10"/>
        <v>2967650000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4551050658</v>
      </c>
      <c r="O50" s="97">
        <v>4380222</v>
      </c>
      <c r="P50" s="97">
        <v>1039</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970</v>
      </c>
      <c r="AM50" s="111">
        <f t="shared" si="10"/>
        <v>-8050623640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35137050</v>
      </c>
      <c r="O51" s="97">
        <v>18993</v>
      </c>
      <c r="P51" s="97">
        <v>1850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968</v>
      </c>
      <c r="AM51" s="111">
        <f t="shared" si="10"/>
        <v>4840000000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954</v>
      </c>
      <c r="AM52" s="111">
        <f t="shared" si="10"/>
        <v>-85860000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953</v>
      </c>
      <c r="AM53" s="111">
        <f t="shared" si="10"/>
        <v>5336800000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1070000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949</v>
      </c>
      <c r="AM54" s="111">
        <f t="shared" si="10"/>
        <v>711750000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947</v>
      </c>
      <c r="AM55" s="168">
        <f t="shared" si="10"/>
        <v>-4017174000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945</v>
      </c>
      <c r="AM56" s="111">
        <f t="shared" si="10"/>
        <v>3874500000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945</v>
      </c>
      <c r="AM57" s="111">
        <f t="shared" si="10"/>
        <v>3874500000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f>O53-324101</f>
        <v>-211819</v>
      </c>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944</v>
      </c>
      <c r="AM58" s="111">
        <f t="shared" si="10"/>
        <v>745760000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929</v>
      </c>
      <c r="AM59" s="170">
        <f t="shared" si="10"/>
        <v>-3590585000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923</v>
      </c>
      <c r="AM60" s="111">
        <f t="shared" si="10"/>
        <v>17352400000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920</v>
      </c>
      <c r="AM61" s="111">
        <f t="shared" si="10"/>
        <v>460000000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-91052052.162360817</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919</v>
      </c>
      <c r="AM62" s="111">
        <f t="shared" si="10"/>
        <v>183800000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916</v>
      </c>
      <c r="AM63" s="111">
        <f t="shared" si="10"/>
        <v>916000000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913</v>
      </c>
      <c r="AM64" s="111">
        <f t="shared" si="10"/>
        <v>1186900000</v>
      </c>
      <c r="AN64" s="20"/>
    </row>
    <row r="65" spans="1:40">
      <c r="K65" s="166"/>
      <c r="L65" s="115"/>
      <c r="M65" s="166"/>
      <c r="N65" s="111">
        <f>SUM(N16:N64)</f>
        <v>3086226256.0869279</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913</v>
      </c>
      <c r="AM65" s="111">
        <f t="shared" si="10"/>
        <v>908435000</v>
      </c>
      <c r="AN65" s="20"/>
    </row>
    <row r="66" spans="1:40">
      <c r="K66" s="166" t="s">
        <v>593</v>
      </c>
      <c r="L66" s="111">
        <f>SUM(L16:L49)</f>
        <v>4779788091.7507114</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911</v>
      </c>
      <c r="AM66" s="111">
        <f t="shared" si="10"/>
        <v>11843000000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909</v>
      </c>
      <c r="AM67" s="111">
        <f t="shared" si="10"/>
        <v>-2817900000</v>
      </c>
      <c r="AN67" s="20"/>
    </row>
    <row r="68" spans="1:40">
      <c r="F68" t="s">
        <v>4086</v>
      </c>
      <c r="G68" t="s">
        <v>4081</v>
      </c>
      <c r="K68" s="54" t="s">
        <v>709</v>
      </c>
      <c r="L68" s="1">
        <f>L66+N7</f>
        <v>4879788091.7507114</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906</v>
      </c>
      <c r="AM68" s="111">
        <f t="shared" si="10"/>
        <v>41349840000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905</v>
      </c>
      <c r="AM69" s="111">
        <f t="shared" si="10"/>
        <v>30317500000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904</v>
      </c>
      <c r="AM70" s="115">
        <f t="shared" si="10"/>
        <v>10848000000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903</v>
      </c>
      <c r="AM71" s="115">
        <f t="shared" si="10"/>
        <v>13996500000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899</v>
      </c>
      <c r="AM72" s="115">
        <f t="shared" si="10"/>
        <v>134850000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898</v>
      </c>
      <c r="AM73" s="178">
        <f t="shared" si="10"/>
        <v>26042000000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883</v>
      </c>
      <c r="AM74" s="115">
        <f t="shared" si="10"/>
        <v>-114790000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876</v>
      </c>
      <c r="AM75" s="115">
        <f>AJ75*AL75</f>
        <v>203232000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874</v>
      </c>
      <c r="AM76" s="115">
        <f t="shared" si="10"/>
        <v>-148580000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871</v>
      </c>
      <c r="AM77" s="115">
        <f t="shared" si="10"/>
        <v>-261300000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868</v>
      </c>
      <c r="AM78" s="115">
        <f t="shared" si="10"/>
        <v>-9895200000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855</v>
      </c>
      <c r="AM79" s="115">
        <f>AJ79*AL79</f>
        <v>-8550000000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854</v>
      </c>
      <c r="AM80" s="115">
        <f>AJ80*AL80</f>
        <v>-2092300000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849</v>
      </c>
      <c r="AM81" s="115">
        <f t="shared" si="10"/>
        <v>-387212769</v>
      </c>
      <c r="AN81" s="20"/>
    </row>
    <row r="82" spans="4:52" ht="26.25">
      <c r="D82" s="31" t="s">
        <v>309</v>
      </c>
      <c r="E82" s="1">
        <v>100000</v>
      </c>
      <c r="G82" s="94"/>
      <c r="H82" s="94"/>
      <c r="K82" t="s">
        <v>4720</v>
      </c>
      <c r="M82" s="238"/>
      <c r="N82" t="s">
        <v>5722</v>
      </c>
      <c r="Q82" s="167">
        <f>SUM(N21:N24)-SUM(Q20:Q81)</f>
        <v>999021762.67580938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848</v>
      </c>
      <c r="AM82" s="115">
        <f t="shared" si="10"/>
        <v>-424000000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846</v>
      </c>
      <c r="AM83" s="115">
        <f t="shared" si="10"/>
        <v>-5274277020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843</v>
      </c>
      <c r="AM84" s="115">
        <f t="shared" si="10"/>
        <v>1644656751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839</v>
      </c>
      <c r="AM85" s="115">
        <f t="shared" si="10"/>
        <v>503400000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834</v>
      </c>
      <c r="AM86" s="115">
        <f t="shared" si="10"/>
        <v>6255000000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832</v>
      </c>
      <c r="AM87" s="115">
        <f t="shared" si="10"/>
        <v>-489062912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829</v>
      </c>
      <c r="AM88" s="115">
        <f t="shared" si="10"/>
        <v>-752308381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829</v>
      </c>
      <c r="AM89" s="115">
        <f t="shared" si="10"/>
        <v>2031050000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828</v>
      </c>
      <c r="AM90" s="115">
        <f t="shared" si="10"/>
        <v>1242000000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827</v>
      </c>
      <c r="AM91" s="115">
        <f t="shared" si="10"/>
        <v>2189896000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826</v>
      </c>
      <c r="AM92" s="115">
        <f t="shared" si="10"/>
        <v>507990000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822</v>
      </c>
      <c r="AM93" s="115">
        <f t="shared" si="10"/>
        <v>11508000000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820</v>
      </c>
      <c r="AM94" s="115">
        <f t="shared" si="10"/>
        <v>1076660000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820</v>
      </c>
      <c r="AM95" s="115">
        <f t="shared" si="10"/>
        <v>1860580000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819</v>
      </c>
      <c r="AM96" s="115">
        <f t="shared" si="10"/>
        <v>614250000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815</v>
      </c>
      <c r="AM97" s="115">
        <f t="shared" si="10"/>
        <v>1548500000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812</v>
      </c>
      <c r="AM98" s="115">
        <f t="shared" si="10"/>
        <v>5196800000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811</v>
      </c>
      <c r="AM99" s="115">
        <f t="shared" si="10"/>
        <v>4055000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806</v>
      </c>
      <c r="AM100" s="115">
        <f t="shared" si="10"/>
        <v>-1410619288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805</v>
      </c>
      <c r="AM101" s="115">
        <f t="shared" si="10"/>
        <v>322000000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805</v>
      </c>
      <c r="AM102" s="115">
        <f t="shared" si="10"/>
        <v>-1694863905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804</v>
      </c>
      <c r="AM103" s="115">
        <f t="shared" si="10"/>
        <v>-4444204872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804</v>
      </c>
      <c r="AM104" s="115">
        <f t="shared" si="10"/>
        <v>3135600000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801</v>
      </c>
      <c r="AM105" s="115">
        <f t="shared" si="10"/>
        <v>-3179772954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800</v>
      </c>
      <c r="AM106" s="115">
        <f t="shared" si="10"/>
        <v>-20459564000</v>
      </c>
      <c r="AN106" s="97"/>
      <c r="AP106" t="s">
        <v>25</v>
      </c>
    </row>
    <row r="107" spans="4:47">
      <c r="F107" s="196">
        <f>$L$115/G107</f>
        <v>10298.363811357074</v>
      </c>
      <c r="G107" s="196">
        <f>P50</f>
        <v>1039</v>
      </c>
      <c r="H107" s="196" t="s">
        <v>4704</v>
      </c>
      <c r="I107" s="196" t="s">
        <v>5297</v>
      </c>
      <c r="J107" s="208" t="s">
        <v>4219</v>
      </c>
      <c r="K107" s="196">
        <v>210</v>
      </c>
      <c r="L107" s="209">
        <f t="shared" ref="L107:L112" si="40">K107*$L$115</f>
        <v>2247000000</v>
      </c>
      <c r="M107" s="209">
        <f>N21+N31+N50+N44</f>
        <v>7614393581</v>
      </c>
      <c r="N107" s="181">
        <f t="shared" ref="N107:N112" si="41">L107-M107</f>
        <v>-5367393581</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800</v>
      </c>
      <c r="AM107" s="115">
        <f t="shared" si="10"/>
        <v>3200000000</v>
      </c>
      <c r="AN107" s="97"/>
    </row>
    <row r="108" spans="4:47">
      <c r="F108" s="207">
        <v>0</v>
      </c>
      <c r="G108" s="207">
        <f>P49</f>
        <v>21500</v>
      </c>
      <c r="H108" s="207" t="s">
        <v>4863</v>
      </c>
      <c r="I108" s="207" t="s">
        <v>5298</v>
      </c>
      <c r="J108" s="32" t="s">
        <v>4361</v>
      </c>
      <c r="K108" s="207">
        <v>33</v>
      </c>
      <c r="L108" s="1">
        <f t="shared" si="40"/>
        <v>353100000</v>
      </c>
      <c r="M108" s="1">
        <f>N49+N28+N22</f>
        <v>33098810</v>
      </c>
      <c r="N108" s="111">
        <f t="shared" si="41"/>
        <v>320001190</v>
      </c>
      <c r="P108" s="94"/>
      <c r="Q108" s="111">
        <f>SUM(N28:N31)-SUM(Q87:Q107)</f>
        <v>340491476.7462979</v>
      </c>
      <c r="R108" s="166"/>
      <c r="S108" s="166"/>
      <c r="T108" s="166"/>
      <c r="U108" s="166"/>
      <c r="V108" s="166"/>
      <c r="W108" s="32"/>
      <c r="X108" s="32"/>
      <c r="AA108" t="s">
        <v>25</v>
      </c>
      <c r="AB108" s="94"/>
      <c r="AH108" s="97">
        <v>88</v>
      </c>
      <c r="AI108" s="111" t="s">
        <v>979</v>
      </c>
      <c r="AJ108" s="111">
        <v>-5000000</v>
      </c>
      <c r="AK108" s="97">
        <v>2</v>
      </c>
      <c r="AL108" s="97">
        <f t="shared" si="37"/>
        <v>799</v>
      </c>
      <c r="AM108" s="115">
        <f t="shared" si="10"/>
        <v>-3995000000</v>
      </c>
      <c r="AN108" s="97"/>
    </row>
    <row r="109" spans="4:47">
      <c r="F109" s="196">
        <v>0</v>
      </c>
      <c r="G109" s="196">
        <f>P48</f>
        <v>15000</v>
      </c>
      <c r="H109" s="196" t="s">
        <v>4977</v>
      </c>
      <c r="I109" s="196" t="s">
        <v>5299</v>
      </c>
      <c r="J109" s="208" t="s">
        <v>4357</v>
      </c>
      <c r="K109" s="196">
        <v>0</v>
      </c>
      <c r="L109" s="209">
        <f t="shared" si="40"/>
        <v>0</v>
      </c>
      <c r="M109" s="209">
        <f>N48+N24</f>
        <v>43680000</v>
      </c>
      <c r="N109" s="181">
        <f t="shared" si="41"/>
        <v>-43680000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797</v>
      </c>
      <c r="AM109" s="115">
        <f t="shared" si="10"/>
        <v>7970000000</v>
      </c>
      <c r="AN109" s="97"/>
    </row>
    <row r="110" spans="4:47">
      <c r="F110" s="187"/>
      <c r="G110" s="187"/>
      <c r="H110" s="187"/>
      <c r="I110" s="187"/>
      <c r="J110" s="265" t="s">
        <v>5300</v>
      </c>
      <c r="K110" s="187">
        <v>0</v>
      </c>
      <c r="L110" s="266">
        <f t="shared" si="40"/>
        <v>0</v>
      </c>
      <c r="M110" s="266">
        <f>N20+N27+N42</f>
        <v>101929370</v>
      </c>
      <c r="N110" s="186">
        <f t="shared" si="41"/>
        <v>-101929370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793</v>
      </c>
      <c r="AM110" s="115">
        <f t="shared" si="10"/>
        <v>-4156856041</v>
      </c>
      <c r="AN110" s="97"/>
    </row>
    <row r="111" spans="4:47">
      <c r="F111" s="196"/>
      <c r="G111" s="196"/>
      <c r="H111" s="196"/>
      <c r="I111" s="196"/>
      <c r="J111" s="208" t="s">
        <v>314</v>
      </c>
      <c r="K111" s="196">
        <v>1</v>
      </c>
      <c r="L111" s="209">
        <f t="shared" si="40"/>
        <v>10700000</v>
      </c>
      <c r="M111" s="209">
        <v>0</v>
      </c>
      <c r="N111" s="181">
        <f t="shared" si="41"/>
        <v>10700000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793</v>
      </c>
      <c r="AM111" s="115">
        <f t="shared" si="10"/>
        <v>17366700000</v>
      </c>
      <c r="AN111" s="97"/>
      <c r="AP111" t="s">
        <v>25</v>
      </c>
      <c r="AU111"/>
    </row>
    <row r="112" spans="4:47">
      <c r="F112" s="189"/>
      <c r="G112" s="189"/>
      <c r="H112" s="189"/>
      <c r="I112" s="189"/>
      <c r="J112" s="239" t="s">
        <v>5406</v>
      </c>
      <c r="K112" s="189">
        <v>482</v>
      </c>
      <c r="L112" s="240">
        <f t="shared" si="40"/>
        <v>5157400000</v>
      </c>
      <c r="M112" s="240">
        <v>0</v>
      </c>
      <c r="N112" s="84">
        <f t="shared" si="41"/>
        <v>5157400000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791</v>
      </c>
      <c r="AM112" s="115">
        <f t="shared" si="10"/>
        <v>-11865000000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791</v>
      </c>
      <c r="AM113" s="115">
        <f t="shared" si="10"/>
        <v>2373000000</v>
      </c>
      <c r="AN113" s="97"/>
    </row>
    <row r="114" spans="6:46" ht="30">
      <c r="F114" s="196"/>
      <c r="G114" s="196"/>
      <c r="H114" s="196"/>
      <c r="I114" s="196"/>
      <c r="J114" s="208" t="s">
        <v>4996</v>
      </c>
      <c r="K114" s="196">
        <f>SUM(K107:K112)</f>
        <v>726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790</v>
      </c>
      <c r="AM114" s="115">
        <f t="shared" si="10"/>
        <v>-1661951440</v>
      </c>
      <c r="AN114" s="97"/>
    </row>
    <row r="115" spans="6:46">
      <c r="F115" s="207"/>
      <c r="G115" s="207"/>
      <c r="H115" s="207" t="s">
        <v>25</v>
      </c>
      <c r="I115" s="207"/>
      <c r="J115" s="32"/>
      <c r="K115" s="207">
        <v>0</v>
      </c>
      <c r="L115" s="39">
        <f>10*P54</f>
        <v>10700000</v>
      </c>
      <c r="M115" s="1">
        <f>K115*L115</f>
        <v>0</v>
      </c>
      <c r="N115" s="111">
        <f>SUM(N107:N113)-M115</f>
        <v>-4901761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790</v>
      </c>
      <c r="AM115" s="115">
        <f t="shared" si="10"/>
        <v>173800000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787</v>
      </c>
      <c r="AM116" s="115">
        <f t="shared" si="10"/>
        <v>3148000000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786</v>
      </c>
      <c r="AM117" s="115">
        <f t="shared" si="10"/>
        <v>-7074000000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786</v>
      </c>
      <c r="AM118" s="115">
        <f t="shared" si="10"/>
        <v>10925400000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784</v>
      </c>
      <c r="AM119" s="115">
        <f t="shared" si="10"/>
        <v>-6372020368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783</v>
      </c>
      <c r="AM120" s="115">
        <f t="shared" si="10"/>
        <v>12365565867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780</v>
      </c>
      <c r="AM121" s="115">
        <f t="shared" ref="AM121:AM144" si="53">AJ121*AL121</f>
        <v>6864000000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780</v>
      </c>
      <c r="AM122" s="77">
        <f t="shared" si="53"/>
        <v>10195857360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779</v>
      </c>
      <c r="AM123" s="88">
        <f t="shared" si="53"/>
        <v>13030361823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779</v>
      </c>
      <c r="AM124" s="115">
        <f t="shared" si="53"/>
        <v>9348000000</v>
      </c>
      <c r="AN124" s="97" t="s">
        <v>4566</v>
      </c>
    </row>
    <row r="125" spans="6:46">
      <c r="F125" s="94"/>
      <c r="G125" s="97">
        <f>P50</f>
        <v>1039</v>
      </c>
      <c r="H125" s="97" t="s">
        <v>4219</v>
      </c>
      <c r="I125" s="97">
        <v>51250</v>
      </c>
      <c r="J125" s="1">
        <f>I125*G125</f>
        <v>53248750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778</v>
      </c>
      <c r="AM125" s="88">
        <f t="shared" si="53"/>
        <v>69006784926</v>
      </c>
      <c r="AN125" s="87" t="s">
        <v>4567</v>
      </c>
      <c r="AP125" t="s">
        <v>25</v>
      </c>
    </row>
    <row r="126" spans="6:46">
      <c r="F126" s="94"/>
      <c r="G126" s="97">
        <f>P48</f>
        <v>15000</v>
      </c>
      <c r="H126" s="97" t="s">
        <v>4357</v>
      </c>
      <c r="I126" s="97">
        <v>6709</v>
      </c>
      <c r="J126" s="1">
        <f>I126*G126</f>
        <v>100635000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777</v>
      </c>
      <c r="AM126" s="115">
        <f t="shared" si="53"/>
        <v>78477000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777</v>
      </c>
      <c r="AM127" s="186">
        <f t="shared" si="53"/>
        <v>-37451400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777</v>
      </c>
      <c r="AM128" s="186">
        <f t="shared" si="53"/>
        <v>30557306661</v>
      </c>
      <c r="AN128" s="87" t="s">
        <v>4571</v>
      </c>
    </row>
    <row r="129" spans="7:43">
      <c r="G129" s="97"/>
      <c r="H129" s="97" t="s">
        <v>938</v>
      </c>
      <c r="I129" s="148">
        <f>J125+J126+J127+J128-J124</f>
        <v>23883750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773</v>
      </c>
      <c r="AM129" s="88">
        <f t="shared" si="53"/>
        <v>6763015650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772</v>
      </c>
      <c r="AM130" s="115">
        <f t="shared" si="53"/>
        <v>46320000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771</v>
      </c>
      <c r="AM131" s="115">
        <f t="shared" si="53"/>
        <v>3662250000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771</v>
      </c>
      <c r="AM132" s="88">
        <f t="shared" si="53"/>
        <v>10100994360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770</v>
      </c>
      <c r="AM133" s="115">
        <f t="shared" si="53"/>
        <v>-754600000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770</v>
      </c>
      <c r="AM134" s="88">
        <f t="shared" si="53"/>
        <v>10242378300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770</v>
      </c>
      <c r="AM135" s="115">
        <f t="shared" si="53"/>
        <v>311080000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765</v>
      </c>
      <c r="AM136" s="88">
        <f t="shared" si="53"/>
        <v>3283095420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763</v>
      </c>
      <c r="AM137" s="115">
        <f t="shared" si="53"/>
        <v>763000</v>
      </c>
      <c r="AN137" s="20"/>
    </row>
    <row r="138" spans="7:43">
      <c r="G138" s="1">
        <f>P50</f>
        <v>1039</v>
      </c>
      <c r="H138" s="207" t="s">
        <v>4219</v>
      </c>
      <c r="I138" s="207">
        <v>20000</v>
      </c>
      <c r="J138" s="1">
        <f>G138*I138</f>
        <v>20780000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758</v>
      </c>
      <c r="AM138" s="77">
        <f t="shared" si="53"/>
        <v>6624509922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756</v>
      </c>
      <c r="AM139" s="77">
        <f t="shared" si="53"/>
        <v>13302030168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5" si="59">V140*(1+$W$19/100)</f>
        <v>2067.7502709041096</v>
      </c>
      <c r="X140" s="32">
        <f t="shared" ref="X140:X155" si="60">V140*(1+$X$19/100)</f>
        <v>2108.2943938630137</v>
      </c>
      <c r="Y140" s="94"/>
      <c r="Z140" s="94"/>
      <c r="AA140" s="94"/>
      <c r="AH140" s="119">
        <v>120</v>
      </c>
      <c r="AI140" s="77" t="s">
        <v>4627</v>
      </c>
      <c r="AJ140" s="77">
        <v>13335309</v>
      </c>
      <c r="AK140" s="119">
        <v>13</v>
      </c>
      <c r="AL140" s="119">
        <f t="shared" si="58"/>
        <v>755</v>
      </c>
      <c r="AM140" s="77">
        <f t="shared" si="53"/>
        <v>10068158295</v>
      </c>
      <c r="AN140" s="119" t="s">
        <v>4599</v>
      </c>
    </row>
    <row r="141" spans="7:43">
      <c r="G141" s="207"/>
      <c r="H141" s="111"/>
      <c r="I141" s="266">
        <f>J141-J137</f>
        <v>-129220000</v>
      </c>
      <c r="J141" s="1">
        <f>SUM(J138:J139)</f>
        <v>20780000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742</v>
      </c>
      <c r="AM141" s="217">
        <f t="shared" si="53"/>
        <v>37100000000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731</v>
      </c>
      <c r="AM142" s="115">
        <f t="shared" si="53"/>
        <v>21930000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728</v>
      </c>
      <c r="AM143" s="115">
        <f t="shared" si="53"/>
        <v>436800000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727</v>
      </c>
      <c r="AM144" s="115">
        <f t="shared" si="53"/>
        <v>21810000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724</v>
      </c>
      <c r="AM145" s="115">
        <f>AJ145*AL145</f>
        <v>1629000000</v>
      </c>
      <c r="AN145" s="20"/>
      <c r="AR145" t="s">
        <v>25</v>
      </c>
    </row>
    <row r="146" spans="5:44">
      <c r="G146" s="32">
        <f>O21+O31+O50+I138</f>
        <v>7312198</v>
      </c>
      <c r="H146" s="32" t="s">
        <v>5456</v>
      </c>
      <c r="I146" s="32">
        <f>O22+O28+O49+I139+O44</f>
        <v>63610</v>
      </c>
      <c r="J146" s="112"/>
      <c r="K146" s="94"/>
      <c r="L146" s="94"/>
      <c r="M146" s="94"/>
      <c r="Q146" s="167"/>
      <c r="R146" s="207" t="s">
        <v>6531</v>
      </c>
      <c r="S146" s="207">
        <f>S145-16</f>
        <v>-20</v>
      </c>
      <c r="T146" s="207" t="s">
        <v>6532</v>
      </c>
      <c r="U146" s="207">
        <v>1711</v>
      </c>
      <c r="V146" s="97">
        <f t="shared" ref="V146:V153"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723</v>
      </c>
      <c r="AM146" s="35">
        <f>AJ146*AL146</f>
        <v>-22711020600</v>
      </c>
      <c r="AN146" s="23" t="s">
        <v>4737</v>
      </c>
    </row>
    <row r="147" spans="5:44">
      <c r="G147" s="32">
        <f>(J139+N30+N22+N24+N28+N48+N49+N44)/P50</f>
        <v>110277.83349374398</v>
      </c>
      <c r="H147" s="280" t="s">
        <v>5457</v>
      </c>
      <c r="I147" s="32">
        <f>(J138+N30+N50+N48+N31+N24+N21)/P49</f>
        <v>355397.84753488371</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722</v>
      </c>
      <c r="AM147" s="115">
        <f>AJ147*AL147</f>
        <v>50540000</v>
      </c>
      <c r="AN147" s="20"/>
    </row>
    <row r="148" spans="5:44">
      <c r="G148" s="32">
        <f>G146+G147</f>
        <v>7422475.833493744</v>
      </c>
      <c r="H148" s="32" t="s">
        <v>5458</v>
      </c>
      <c r="I148" s="32">
        <f>I146+I147</f>
        <v>419007.84753488371</v>
      </c>
      <c r="J148" s="112"/>
      <c r="K148" s="94"/>
      <c r="L148" s="94"/>
      <c r="N148" s="94"/>
      <c r="O148" s="94"/>
      <c r="Q148" s="167"/>
      <c r="R148" s="207" t="s">
        <v>6552</v>
      </c>
      <c r="S148" s="207">
        <f>S147-4</f>
        <v>-25</v>
      </c>
      <c r="T148" s="207" t="s">
        <v>6568</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713</v>
      </c>
      <c r="AM148" s="115">
        <f>AJ148*AL148</f>
        <v>14260000</v>
      </c>
      <c r="AN148" s="20"/>
      <c r="AP148" t="s">
        <v>25</v>
      </c>
    </row>
    <row r="149" spans="5:44">
      <c r="G149" s="32">
        <f>(W166+W167)/P50</f>
        <v>345721.74778525031</v>
      </c>
      <c r="H149" s="32" t="s">
        <v>5434</v>
      </c>
      <c r="I149" s="32">
        <f>(W166+W167)/P49</f>
        <v>16707.204462738377</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703</v>
      </c>
      <c r="AM149" s="115">
        <f>AJ149*AL149</f>
        <v>703000000</v>
      </c>
      <c r="AN149" s="20"/>
    </row>
    <row r="150" spans="5:44">
      <c r="E150" s="121"/>
      <c r="G150" s="32">
        <f>W164/P50</f>
        <v>2690758.750048521</v>
      </c>
      <c r="H150" s="32" t="s">
        <v>481</v>
      </c>
      <c r="I150" s="32">
        <f>W164/P49</f>
        <v>130032.4809907169</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702</v>
      </c>
      <c r="AM150" s="115">
        <f t="shared" ref="AM150:AM177" si="62">AJ150*AL150</f>
        <v>46072419354</v>
      </c>
      <c r="AN150" s="20" t="s">
        <v>4789</v>
      </c>
      <c r="AP150" t="s">
        <v>25</v>
      </c>
      <c r="AR150" t="s">
        <v>25</v>
      </c>
    </row>
    <row r="151" spans="5:44">
      <c r="G151" s="32">
        <f>G148-G149-G150</f>
        <v>4385995.3356599724</v>
      </c>
      <c r="H151" s="32" t="s">
        <v>5</v>
      </c>
      <c r="I151" s="32">
        <f>I148-I149-I150</f>
        <v>272268.16208142845</v>
      </c>
      <c r="J151" s="112"/>
      <c r="K151" s="94"/>
      <c r="L151" s="94"/>
      <c r="M151" t="s">
        <v>25</v>
      </c>
      <c r="N151" s="94"/>
      <c r="O151" s="94"/>
      <c r="Q151" s="167"/>
      <c r="R151" s="207" t="s">
        <v>6561</v>
      </c>
      <c r="S151" s="207">
        <f>S150</f>
        <v>-33</v>
      </c>
      <c r="T151" s="207" t="s">
        <v>6563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702</v>
      </c>
      <c r="AM151" s="115">
        <f t="shared" si="62"/>
        <v>-2457000000</v>
      </c>
      <c r="AN151" s="20" t="s">
        <v>4788</v>
      </c>
    </row>
    <row r="152" spans="5:44">
      <c r="N152" s="94"/>
      <c r="O152" s="94"/>
      <c r="Q152" s="167"/>
      <c r="R152" s="207" t="s">
        <v>6565</v>
      </c>
      <c r="S152" s="207">
        <f>S151-1</f>
        <v>-34</v>
      </c>
      <c r="T152" s="207" t="s">
        <v>6566</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696</v>
      </c>
      <c r="AM152" s="115">
        <f t="shared" si="62"/>
        <v>1753920000</v>
      </c>
      <c r="AN152" s="20"/>
    </row>
    <row r="153" spans="5:44">
      <c r="N153" s="94"/>
      <c r="O153" s="94"/>
      <c r="P153" s="112"/>
      <c r="Q153" s="167"/>
      <c r="R153" s="207" t="s">
        <v>6565</v>
      </c>
      <c r="S153" s="207">
        <f>S152</f>
        <v>-34</v>
      </c>
      <c r="T153" s="207" t="s">
        <v>6567</v>
      </c>
      <c r="U153" s="207">
        <v>415</v>
      </c>
      <c r="V153" s="97">
        <f t="shared" si="61"/>
        <v>410.48389041095896</v>
      </c>
      <c r="W153" s="32">
        <f t="shared" si="59"/>
        <v>418.69356821917813</v>
      </c>
      <c r="X153" s="32">
        <f t="shared" si="60"/>
        <v>426.90324602739736</v>
      </c>
      <c r="Y153" s="94"/>
      <c r="Z153" s="94"/>
      <c r="AA153" s="94"/>
      <c r="AH153" s="97">
        <v>133</v>
      </c>
      <c r="AI153" s="111" t="s">
        <v>4833</v>
      </c>
      <c r="AJ153" s="111">
        <v>1400000</v>
      </c>
      <c r="AK153" s="97">
        <v>4</v>
      </c>
      <c r="AL153" s="20">
        <f t="shared" si="58"/>
        <v>684</v>
      </c>
      <c r="AM153" s="115">
        <f t="shared" si="62"/>
        <v>957600000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680</v>
      </c>
      <c r="AM154" s="115">
        <f t="shared" si="62"/>
        <v>1054000000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678</v>
      </c>
      <c r="AM155" s="115">
        <f t="shared" si="62"/>
        <v>169500000</v>
      </c>
      <c r="AN155" s="20"/>
    </row>
    <row r="156" spans="5:44">
      <c r="G156" s="32" t="s">
        <v>180</v>
      </c>
      <c r="H156" s="32" t="s">
        <v>5459</v>
      </c>
      <c r="I156" s="207" t="s">
        <v>5460</v>
      </c>
      <c r="J156" s="207" t="s">
        <v>5461</v>
      </c>
      <c r="K156" s="32" t="s">
        <v>5462</v>
      </c>
      <c r="L156" s="97" t="s">
        <v>5476</v>
      </c>
      <c r="M156" s="97" t="s">
        <v>5477</v>
      </c>
      <c r="P156" s="94"/>
      <c r="Q156" s="111">
        <f>SUM(N44:N54)-SUM(Q116:Q155)</f>
        <v>2979020608.36867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672</v>
      </c>
      <c r="AM156" s="115">
        <f t="shared" si="62"/>
        <v>-32610466560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658</v>
      </c>
      <c r="AM157" s="115">
        <f t="shared" si="62"/>
        <v>1381800000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657</v>
      </c>
      <c r="AM158" s="115">
        <f t="shared" si="62"/>
        <v>65700000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653</v>
      </c>
      <c r="AM159" s="115">
        <f t="shared" ref="AM159:AM168" si="66">AJ159*AL159</f>
        <v>587700000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653</v>
      </c>
      <c r="AM160" s="115">
        <f t="shared" si="66"/>
        <v>718300000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653</v>
      </c>
      <c r="AM161" s="115">
        <f t="shared" si="66"/>
        <v>75095000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653</v>
      </c>
      <c r="AM162" s="115">
        <f t="shared" si="66"/>
        <v>-718300000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653</v>
      </c>
      <c r="AM163" s="115">
        <f t="shared" si="66"/>
        <v>587700000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2624895</v>
      </c>
      <c r="U164" s="285" t="s">
        <v>744</v>
      </c>
      <c r="V164" s="285">
        <v>1493032</v>
      </c>
      <c r="W164" s="88">
        <f>V164*$T$504</f>
        <v>2795698341.3004131</v>
      </c>
      <c r="X164">
        <f>W164*100/$W$170</f>
        <v>34.643050806321185</v>
      </c>
      <c r="Y164" t="s">
        <v>25</v>
      </c>
      <c r="Z164" t="s">
        <v>25</v>
      </c>
      <c r="AA164" t="s">
        <v>25</v>
      </c>
      <c r="AH164" s="97">
        <v>144</v>
      </c>
      <c r="AI164" s="111" t="s">
        <v>4905</v>
      </c>
      <c r="AJ164" s="111">
        <v>2000000</v>
      </c>
      <c r="AK164" s="97">
        <v>0</v>
      </c>
      <c r="AL164" s="20">
        <f t="shared" si="65"/>
        <v>652</v>
      </c>
      <c r="AM164" s="115">
        <f t="shared" si="66"/>
        <v>1304000000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4915108716.7507114</v>
      </c>
      <c r="X165" s="94">
        <f>W165*100/$W$170</f>
        <v>60.905841834775451</v>
      </c>
      <c r="Y165" t="s">
        <v>25</v>
      </c>
      <c r="Z165" t="s">
        <v>25</v>
      </c>
      <c r="AA165" t="s">
        <v>25</v>
      </c>
      <c r="AH165" s="97">
        <v>145</v>
      </c>
      <c r="AI165" s="111" t="s">
        <v>4905</v>
      </c>
      <c r="AJ165" s="111">
        <v>360000</v>
      </c>
      <c r="AK165" s="97">
        <v>1</v>
      </c>
      <c r="AL165" s="20">
        <f t="shared" si="65"/>
        <v>652</v>
      </c>
      <c r="AM165" s="115">
        <f t="shared" si="66"/>
        <v>234720000</v>
      </c>
      <c r="AN165" s="20"/>
    </row>
    <row r="166" spans="7:43">
      <c r="G166" s="32"/>
      <c r="H166" s="32"/>
      <c r="I166" s="207"/>
      <c r="J166" s="207"/>
      <c r="K166" s="32"/>
      <c r="L166" s="97"/>
      <c r="M166" s="97"/>
      <c r="N166" s="94"/>
      <c r="O166" s="94"/>
      <c r="P166" s="112"/>
      <c r="Q166" t="s">
        <v>25</v>
      </c>
      <c r="S166" t="s">
        <v>25</v>
      </c>
      <c r="T166" s="94">
        <f>V164-V170</f>
        <v>1493032</v>
      </c>
      <c r="U166" s="285" t="s">
        <v>4409</v>
      </c>
      <c r="V166" s="285">
        <v>48626</v>
      </c>
      <c r="W166" s="88">
        <f>V166*$T$504</f>
        <v>91052052.162360817</v>
      </c>
      <c r="X166" s="94">
        <f>W166*100/$W$170</f>
        <v>1.1282765463219637</v>
      </c>
      <c r="Y166" t="s">
        <v>25</v>
      </c>
      <c r="AH166" s="97">
        <v>146</v>
      </c>
      <c r="AI166" s="111" t="s">
        <v>4906</v>
      </c>
      <c r="AJ166" s="111">
        <v>3000000</v>
      </c>
      <c r="AK166" s="97">
        <v>1</v>
      </c>
      <c r="AL166" s="20">
        <f t="shared" si="65"/>
        <v>651</v>
      </c>
      <c r="AM166" s="115">
        <f t="shared" si="66"/>
        <v>1953000000</v>
      </c>
      <c r="AN166" s="20"/>
    </row>
    <row r="167" spans="7:43">
      <c r="G167" s="32"/>
      <c r="H167" s="32"/>
      <c r="I167" s="207"/>
      <c r="J167" s="207"/>
      <c r="K167" s="32"/>
      <c r="L167" s="97"/>
      <c r="M167" s="97"/>
      <c r="P167" s="112"/>
      <c r="Q167" t="s">
        <v>25</v>
      </c>
      <c r="T167" s="94"/>
      <c r="U167" s="285" t="s">
        <v>1071</v>
      </c>
      <c r="V167" s="285">
        <v>143206</v>
      </c>
      <c r="W167" s="88">
        <f>V167*$T$504</f>
        <v>268152843.78651428</v>
      </c>
      <c r="X167" s="94">
        <f>W167*100/$W$170</f>
        <v>3.3228308125813997</v>
      </c>
      <c r="Z167" t="s">
        <v>25</v>
      </c>
      <c r="AH167" s="97">
        <v>147</v>
      </c>
      <c r="AI167" s="111" t="s">
        <v>4904</v>
      </c>
      <c r="AJ167" s="111">
        <v>-658226</v>
      </c>
      <c r="AK167" s="97">
        <v>1</v>
      </c>
      <c r="AL167" s="20">
        <f t="shared" si="65"/>
        <v>650</v>
      </c>
      <c r="AM167" s="115">
        <f t="shared" si="66"/>
        <v>-427846900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649</v>
      </c>
      <c r="AM168" s="115">
        <f t="shared" si="66"/>
        <v>649000000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634</v>
      </c>
      <c r="AM169" s="115">
        <f t="shared" si="62"/>
        <v>716578500</v>
      </c>
      <c r="AN169" s="20"/>
    </row>
    <row r="170" spans="7:43">
      <c r="O170" s="112"/>
      <c r="P170" s="112"/>
      <c r="Q170" s="94" t="s">
        <v>25</v>
      </c>
      <c r="R170" s="94"/>
      <c r="S170" s="94" t="s">
        <v>25</v>
      </c>
      <c r="T170" s="94" t="s">
        <v>25</v>
      </c>
      <c r="U170" s="87"/>
      <c r="V170" s="87">
        <f>V169-U501</f>
        <v>0</v>
      </c>
      <c r="W170" s="140">
        <f>SUM(W164:W167)</f>
        <v>8070011954</v>
      </c>
      <c r="X170" s="94"/>
      <c r="Y170" t="s">
        <v>25</v>
      </c>
      <c r="Z170" t="s">
        <v>25</v>
      </c>
      <c r="AE170" s="94" t="s">
        <v>25</v>
      </c>
      <c r="AH170" s="97">
        <v>150</v>
      </c>
      <c r="AI170" s="111" t="s">
        <v>4942</v>
      </c>
      <c r="AJ170" s="111">
        <v>206000</v>
      </c>
      <c r="AK170" s="97">
        <v>2</v>
      </c>
      <c r="AL170" s="20">
        <f t="shared" si="58"/>
        <v>629</v>
      </c>
      <c r="AM170" s="115">
        <f t="shared" si="62"/>
        <v>129574000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105251666.21348572</v>
      </c>
      <c r="X171" s="94"/>
      <c r="Y171" t="s">
        <v>25</v>
      </c>
      <c r="Z171" t="s">
        <v>25</v>
      </c>
      <c r="AA171" t="s">
        <v>25</v>
      </c>
      <c r="AH171" s="97">
        <v>151</v>
      </c>
      <c r="AI171" s="111" t="s">
        <v>4949</v>
      </c>
      <c r="AJ171" s="111">
        <v>50000</v>
      </c>
      <c r="AK171" s="97">
        <v>2</v>
      </c>
      <c r="AL171" s="20">
        <f t="shared" si="58"/>
        <v>627</v>
      </c>
      <c r="AM171" s="115">
        <f t="shared" si="62"/>
        <v>31350000</v>
      </c>
      <c r="AN171" s="20"/>
    </row>
    <row r="172" spans="7:43">
      <c r="G172" s="97" t="s">
        <v>452</v>
      </c>
      <c r="H172" s="97">
        <v>199</v>
      </c>
      <c r="I172" s="97" t="s">
        <v>5450</v>
      </c>
      <c r="P172" s="112"/>
      <c r="Q172" s="94" t="s">
        <v>25</v>
      </c>
      <c r="R172" s="94"/>
      <c r="S172" s="94"/>
      <c r="T172" s="94" t="s">
        <v>25</v>
      </c>
      <c r="U172" s="87"/>
      <c r="V172" s="87" t="s">
        <v>5860</v>
      </c>
      <c r="W172" s="140">
        <f>W166-W171</f>
        <v>-14199614.051124901</v>
      </c>
      <c r="X172" s="94"/>
      <c r="Z172" t="s">
        <v>25</v>
      </c>
      <c r="AH172" s="97">
        <v>152</v>
      </c>
      <c r="AI172" s="111" t="s">
        <v>4953</v>
      </c>
      <c r="AJ172" s="111">
        <v>105000</v>
      </c>
      <c r="AK172" s="97">
        <v>4</v>
      </c>
      <c r="AL172" s="20">
        <f t="shared" si="58"/>
        <v>625</v>
      </c>
      <c r="AM172" s="115">
        <f t="shared" si="62"/>
        <v>65625000</v>
      </c>
      <c r="AN172" s="20"/>
    </row>
    <row r="173" spans="7:43">
      <c r="G173" s="97" t="s">
        <v>744</v>
      </c>
      <c r="H173" s="97">
        <v>200</v>
      </c>
      <c r="I173" s="97" t="s">
        <v>5451</v>
      </c>
      <c r="M173" t="s">
        <v>25</v>
      </c>
      <c r="O173" s="112"/>
      <c r="P173" s="112"/>
      <c r="Q173" s="94" t="s">
        <v>25</v>
      </c>
      <c r="R173" s="94"/>
      <c r="S173" s="94"/>
      <c r="T173" s="94"/>
      <c r="U173" s="87"/>
      <c r="V173" s="87" t="s">
        <v>4929</v>
      </c>
      <c r="W173" s="140">
        <f>W164+W172-R181</f>
        <v>-22119852.750711918</v>
      </c>
      <c r="X173" s="94"/>
      <c r="Y173" t="s">
        <v>25</v>
      </c>
      <c r="AH173" s="97">
        <v>153</v>
      </c>
      <c r="AI173" s="111" t="s">
        <v>4957</v>
      </c>
      <c r="AJ173" s="111">
        <v>5000000</v>
      </c>
      <c r="AK173" s="97">
        <v>1</v>
      </c>
      <c r="AL173" s="20">
        <f t="shared" si="58"/>
        <v>621</v>
      </c>
      <c r="AM173" s="115">
        <f t="shared" si="62"/>
        <v>3105000000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620</v>
      </c>
      <c r="AM174" s="115">
        <f t="shared" si="62"/>
        <v>1550000000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618</v>
      </c>
      <c r="AM175" s="247">
        <f t="shared" si="62"/>
        <v>-30900000000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611</v>
      </c>
      <c r="AM176" s="115">
        <f t="shared" si="62"/>
        <v>6110000000</v>
      </c>
      <c r="AN176" s="20" t="s">
        <v>4678</v>
      </c>
    </row>
    <row r="177" spans="5:43">
      <c r="G177" s="97"/>
      <c r="H177" s="97"/>
      <c r="I177" s="97"/>
      <c r="P177" s="112"/>
      <c r="S177" s="94"/>
      <c r="T177" s="94"/>
      <c r="V177" s="94"/>
      <c r="AH177" s="97">
        <v>157</v>
      </c>
      <c r="AI177" s="111" t="s">
        <v>4977</v>
      </c>
      <c r="AJ177" s="111">
        <v>-16266000</v>
      </c>
      <c r="AK177" s="97">
        <v>1</v>
      </c>
      <c r="AL177" s="20">
        <f t="shared" si="58"/>
        <v>599</v>
      </c>
      <c r="AM177" s="115">
        <f t="shared" si="62"/>
        <v>-9743334000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598</v>
      </c>
      <c r="AM178" s="115">
        <f>AJ178*AL178</f>
        <v>598000000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592</v>
      </c>
      <c r="AM179" s="115">
        <f>AJ179*AL179</f>
        <v>23680000</v>
      </c>
      <c r="AN179" s="20"/>
    </row>
    <row r="180" spans="5:43">
      <c r="P180" s="112"/>
      <c r="Q180" s="36" t="s">
        <v>4515</v>
      </c>
      <c r="R180" s="93">
        <f>SUM(N44:N54)</f>
        <v>4856737627</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587</v>
      </c>
      <c r="AM180" s="115">
        <f>AJ180*AL180</f>
        <v>70440000</v>
      </c>
      <c r="AN180" s="20"/>
    </row>
    <row r="181" spans="5:43">
      <c r="G181" s="207" t="s">
        <v>180</v>
      </c>
      <c r="H181" s="207" t="s">
        <v>5475</v>
      </c>
      <c r="I181" t="s">
        <v>5468</v>
      </c>
      <c r="P181" s="112"/>
      <c r="Q181" s="97" t="s">
        <v>4411</v>
      </c>
      <c r="R181" s="93">
        <f>SUM(N21:N25)</f>
        <v>2803618580</v>
      </c>
      <c r="T181" s="166" t="s">
        <v>4208</v>
      </c>
      <c r="U181" s="166">
        <v>1000</v>
      </c>
      <c r="V181" s="111">
        <v>247.393</v>
      </c>
      <c r="W181" s="111">
        <f t="shared" si="67"/>
        <v>247393</v>
      </c>
      <c r="X181" s="97" t="s">
        <v>744</v>
      </c>
      <c r="Y181" t="s">
        <v>25</v>
      </c>
      <c r="AH181" s="97">
        <v>161</v>
      </c>
      <c r="AI181" s="111" t="s">
        <v>4999</v>
      </c>
      <c r="AJ181" s="111">
        <v>249000</v>
      </c>
      <c r="AK181" s="97">
        <v>9</v>
      </c>
      <c r="AL181" s="20">
        <f>AL182+AK181</f>
        <v>581</v>
      </c>
      <c r="AM181" s="115">
        <f>AJ181*AL181</f>
        <v>144669000</v>
      </c>
      <c r="AN181" s="20"/>
    </row>
    <row r="182" spans="5:43">
      <c r="E182" t="s">
        <v>25</v>
      </c>
      <c r="G182" s="207" t="s">
        <v>5438</v>
      </c>
      <c r="H182" s="1">
        <v>30000000</v>
      </c>
      <c r="I182" s="312" t="s">
        <v>5469</v>
      </c>
      <c r="P182" s="112"/>
      <c r="Q182" s="97" t="s">
        <v>4412</v>
      </c>
      <c r="R182" s="93">
        <f>SUM(N28:N31)</f>
        <v>373404510</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572</v>
      </c>
      <c r="AM182" s="115">
        <f>AJ182*AL182</f>
        <v>37180000</v>
      </c>
      <c r="AN182" s="20"/>
    </row>
    <row r="183" spans="5:43">
      <c r="G183" s="207" t="s">
        <v>5439</v>
      </c>
      <c r="H183" s="1">
        <v>550000</v>
      </c>
      <c r="I183" t="s">
        <v>5470</v>
      </c>
      <c r="P183" s="112"/>
      <c r="Q183" s="97" t="s">
        <v>4413</v>
      </c>
      <c r="R183" s="93">
        <f>N42</f>
        <v>101927761</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565</v>
      </c>
      <c r="AM183" s="115">
        <f t="shared" ref="AM183:AM190" si="69">AJ183*AL183</f>
        <v>-176617870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565</v>
      </c>
      <c r="AM184" s="115">
        <f t="shared" si="69"/>
        <v>28250000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559</v>
      </c>
      <c r="AM185" s="115">
        <f t="shared" si="69"/>
        <v>-111800000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559</v>
      </c>
      <c r="AM186" s="115">
        <f t="shared" si="69"/>
        <v>111800000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556</v>
      </c>
      <c r="AM187" s="115">
        <f t="shared" si="69"/>
        <v>111200000</v>
      </c>
      <c r="AN187" s="20"/>
    </row>
    <row r="188" spans="5:43">
      <c r="G188" s="207" t="s">
        <v>5447</v>
      </c>
      <c r="H188" s="1">
        <v>800000</v>
      </c>
      <c r="I188" t="s">
        <v>5474</v>
      </c>
      <c r="P188" s="112"/>
      <c r="Q188" s="97" t="s">
        <v>6569</v>
      </c>
      <c r="R188" s="93">
        <v>-65678133</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553</v>
      </c>
      <c r="AM188" s="115">
        <f t="shared" si="69"/>
        <v>16590000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546</v>
      </c>
      <c r="AM189" s="115">
        <f t="shared" si="69"/>
        <v>-5460000000</v>
      </c>
      <c r="AN189" s="20" t="s">
        <v>4972</v>
      </c>
    </row>
    <row r="190" spans="5:43" ht="30">
      <c r="G190" s="207" t="s">
        <v>5490</v>
      </c>
      <c r="H190" s="1">
        <v>5745697.3157000002</v>
      </c>
      <c r="P190" s="112"/>
      <c r="Q190" s="36" t="s">
        <v>6564</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546</v>
      </c>
      <c r="AM190" s="115">
        <f t="shared" si="69"/>
        <v>3276000000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538</v>
      </c>
      <c r="AM191" s="115">
        <f>AJ191*AL191</f>
        <v>80700000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531</v>
      </c>
      <c r="AM192" s="115">
        <f>AJ192*AL192</f>
        <v>212400000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530</v>
      </c>
      <c r="AM193" s="115">
        <f>AJ193*AL193</f>
        <v>-53000000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529</v>
      </c>
      <c r="AM194" s="115">
        <f>AJ194*AL194</f>
        <v>5290000000</v>
      </c>
      <c r="AN194" s="20" t="s">
        <v>4678</v>
      </c>
      <c r="AS194" t="s">
        <v>25</v>
      </c>
    </row>
    <row r="195" spans="7:45">
      <c r="G195" s="207" t="s">
        <v>5495</v>
      </c>
      <c r="H195" s="111">
        <v>15154095.839328</v>
      </c>
      <c r="Q195" s="97" t="s">
        <v>4419</v>
      </c>
      <c r="R195" s="93">
        <f>SUM(R180:R194)</f>
        <v>8070011954</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528</v>
      </c>
      <c r="AM195" s="115">
        <f t="shared" ref="AM195:AM203" si="71">AJ195*AL195</f>
        <v>-211200000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522</v>
      </c>
      <c r="AM196" s="115">
        <f t="shared" si="71"/>
        <v>678600000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522</v>
      </c>
      <c r="AM197" s="115">
        <f t="shared" si="71"/>
        <v>120060000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521</v>
      </c>
      <c r="AM198" s="115">
        <f t="shared" si="71"/>
        <v>458480000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517</v>
      </c>
      <c r="AM199" s="115">
        <f t="shared" si="71"/>
        <v>-465300000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516</v>
      </c>
      <c r="AM200" s="115">
        <f t="shared" si="71"/>
        <v>-1806000000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515</v>
      </c>
      <c r="AM201" s="115">
        <f t="shared" si="71"/>
        <v>-824000000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514</v>
      </c>
      <c r="AM202" s="115">
        <f t="shared" si="71"/>
        <v>-411200000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507</v>
      </c>
      <c r="AM203" s="115">
        <f t="shared" si="71"/>
        <v>25350000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505</v>
      </c>
      <c r="AM204" s="115">
        <f t="shared" ref="AM204:AM213" si="73">AJ204*AL204</f>
        <v>202000000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497</v>
      </c>
      <c r="AM205" s="115">
        <f t="shared" si="73"/>
        <v>-4970000000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497</v>
      </c>
      <c r="AM206" s="115">
        <f t="shared" si="73"/>
        <v>1491000000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496</v>
      </c>
      <c r="AM207" s="115">
        <f t="shared" si="73"/>
        <v>248000000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473</v>
      </c>
      <c r="AM208" s="115">
        <f t="shared" si="73"/>
        <v>47899764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472</v>
      </c>
      <c r="AM209" s="115">
        <f t="shared" si="73"/>
        <v>47672000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438</v>
      </c>
      <c r="AM210" s="115">
        <f t="shared" si="73"/>
        <v>-214007676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433</v>
      </c>
      <c r="AM211" s="115">
        <f t="shared" si="73"/>
        <v>155880000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423</v>
      </c>
      <c r="AM212" s="115">
        <f t="shared" si="73"/>
        <v>-1522800000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419</v>
      </c>
      <c r="AM213" s="115">
        <f t="shared" si="73"/>
        <v>-419000000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414</v>
      </c>
      <c r="AM214" s="115">
        <f t="shared" ref="AM214:AM269" si="75">AJ214*AL214</f>
        <v>149040000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412</v>
      </c>
      <c r="AM215" s="115">
        <f t="shared" si="75"/>
        <v>824000000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411</v>
      </c>
      <c r="AM216" s="115">
        <f t="shared" si="75"/>
        <v>8220000000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411</v>
      </c>
      <c r="AM217" s="115">
        <f t="shared" si="75"/>
        <v>-1931700000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410</v>
      </c>
      <c r="AM218" s="115">
        <f t="shared" si="75"/>
        <v>1230000000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406</v>
      </c>
      <c r="AM219" s="115">
        <f t="shared" si="75"/>
        <v>609000000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405</v>
      </c>
      <c r="AM220" s="115">
        <f t="shared" si="75"/>
        <v>12150000000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372</v>
      </c>
      <c r="AM221" s="115">
        <f t="shared" si="75"/>
        <v>1116000000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371</v>
      </c>
      <c r="AM222" s="115">
        <f t="shared" si="75"/>
        <v>2597000000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367</v>
      </c>
      <c r="AM223" s="115">
        <f t="shared" si="75"/>
        <v>3229600000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365</v>
      </c>
      <c r="AM224" s="115">
        <f t="shared" si="75"/>
        <v>14600000000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357</v>
      </c>
      <c r="AM225" s="115">
        <f t="shared" si="75"/>
        <v>142800000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340</v>
      </c>
      <c r="AM226" s="115">
        <f t="shared" si="75"/>
        <v>-6800000000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322</v>
      </c>
      <c r="AM227" s="115">
        <f t="shared" si="75"/>
        <v>967932000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303</v>
      </c>
      <c r="AM228" s="115">
        <f t="shared" si="75"/>
        <v>-39506025972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303</v>
      </c>
      <c r="AM229" s="115">
        <f t="shared" si="75"/>
        <v>37875000000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302</v>
      </c>
      <c r="AM230" s="115">
        <f t="shared" si="75"/>
        <v>2174400000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287</v>
      </c>
      <c r="AM231" s="115">
        <f t="shared" si="75"/>
        <v>588350000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280</v>
      </c>
      <c r="AM232" s="115">
        <f t="shared" si="75"/>
        <v>14000000000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256</v>
      </c>
      <c r="AM233" s="115">
        <f t="shared" si="75"/>
        <v>-14898329600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234</v>
      </c>
      <c r="AM234" s="115">
        <f t="shared" si="75"/>
        <v>5850000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226</v>
      </c>
      <c r="AM235" s="115">
        <f t="shared" si="75"/>
        <v>15820000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220</v>
      </c>
      <c r="AM236" s="115">
        <f t="shared" si="75"/>
        <v>15400000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219</v>
      </c>
      <c r="AM237" s="115">
        <f t="shared" si="75"/>
        <v>32850000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219</v>
      </c>
      <c r="AM238" s="115">
        <f t="shared" si="75"/>
        <v>-20936279550</v>
      </c>
      <c r="AN238" s="20" t="s">
        <v>5573</v>
      </c>
      <c r="AR238" t="s">
        <v>25</v>
      </c>
    </row>
    <row r="239" spans="4:45">
      <c r="G239" s="207" t="s">
        <v>5671</v>
      </c>
      <c r="H239" s="111">
        <v>5212319.8968359996</v>
      </c>
      <c r="Q239" s="19" t="s">
        <v>6488</v>
      </c>
      <c r="R239" s="19" t="s">
        <v>6484</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212</v>
      </c>
      <c r="AM239" s="115">
        <f t="shared" si="75"/>
        <v>42400000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205</v>
      </c>
      <c r="AM240" s="115">
        <f t="shared" si="75"/>
        <v>30750000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200</v>
      </c>
      <c r="AM241" s="115">
        <f t="shared" si="75"/>
        <v>62000000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169</v>
      </c>
      <c r="AM242" s="115">
        <f t="shared" si="75"/>
        <v>709800000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116</v>
      </c>
      <c r="AM243" s="115">
        <f t="shared" si="75"/>
        <v>30160000000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94</v>
      </c>
      <c r="AM244" s="115">
        <f t="shared" si="75"/>
        <v>1880000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87</v>
      </c>
      <c r="AM245" s="115">
        <f t="shared" si="75"/>
        <v>6090000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86</v>
      </c>
      <c r="AM246" s="115">
        <f t="shared" si="75"/>
        <v>28380000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85</v>
      </c>
      <c r="AM247" s="115">
        <f t="shared" si="75"/>
        <v>2875811375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67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57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56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56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55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55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54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54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51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50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6457</v>
      </c>
      <c r="AJ258" s="111">
        <v>10000</v>
      </c>
      <c r="AK258" s="97">
        <v>1</v>
      </c>
      <c r="AL258" s="20">
        <f t="shared" si="74"/>
        <v>45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6462</v>
      </c>
      <c r="AJ259" s="111">
        <v>50000000</v>
      </c>
      <c r="AK259" s="97">
        <v>43</v>
      </c>
      <c r="AL259" s="20">
        <f t="shared" si="74"/>
        <v>44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6556</v>
      </c>
      <c r="AJ260" s="111">
        <v>50000000</v>
      </c>
      <c r="AK260" s="97">
        <v>1</v>
      </c>
      <c r="AL260" s="20">
        <f t="shared" si="74"/>
        <v>1</v>
      </c>
      <c r="AM260" s="115"/>
      <c r="AN260" s="264" t="s">
        <v>6557</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c r="AI261" s="111"/>
      <c r="AJ261" s="111"/>
      <c r="AK261" s="97"/>
      <c r="AL261" s="20">
        <f t="shared" si="74"/>
        <v>0</v>
      </c>
      <c r="AM261" s="115"/>
      <c r="AN261" s="264"/>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538480949.06156397</v>
      </c>
      <c r="AK270" s="97"/>
      <c r="AL270" s="97">
        <v>0</v>
      </c>
      <c r="AM270" s="93">
        <f>SUM(AM20:AM269)</f>
        <v>469608626986</v>
      </c>
      <c r="AN270" s="93">
        <f>AM270*AN273/31</f>
        <v>252482805.99921492</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790963755.06077886</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4958665388</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4420184438.9384365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252482805.99921492</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4167701632.9392214</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6471</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6481</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6489</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c r="H295" s="111"/>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6457</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6484</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6515</v>
      </c>
      <c r="AJ472" s="186">
        <v>-20000000</v>
      </c>
      <c r="AK472" s="147">
        <v>0</v>
      </c>
      <c r="AL472" s="147">
        <f t="shared" si="111"/>
        <v>1</v>
      </c>
      <c r="AM472" s="147">
        <f t="shared" si="112"/>
        <v>-20000000</v>
      </c>
      <c r="AN472" s="147" t="s">
        <v>6516</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6515</v>
      </c>
      <c r="AJ473" s="186">
        <v>2000000</v>
      </c>
      <c r="AK473" s="147">
        <v>1</v>
      </c>
      <c r="AL473" s="147">
        <f t="shared" si="111"/>
        <v>1</v>
      </c>
      <c r="AM473" s="147">
        <f t="shared" si="112"/>
        <v>2000000</v>
      </c>
      <c r="AN473" s="147" t="s">
        <v>6517</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6457</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6462</v>
      </c>
      <c r="U483" s="19">
        <v>26601</v>
      </c>
      <c r="V483" s="115">
        <v>1880.082026</v>
      </c>
      <c r="W483" s="115">
        <f t="shared" si="92"/>
        <v>50012061.973626003</v>
      </c>
      <c r="X483" s="264" t="s">
        <v>5354</v>
      </c>
      <c r="AI483" t="s">
        <v>4048</v>
      </c>
      <c r="AJ483" s="112">
        <f>SUM(N20:N31)</f>
        <v>3177024699</v>
      </c>
    </row>
    <row r="484" spans="17:40">
      <c r="Q484" s="97" t="s">
        <v>5729</v>
      </c>
      <c r="R484" s="93">
        <v>6610318.1610199995</v>
      </c>
      <c r="T484" s="187" t="s">
        <v>6462</v>
      </c>
      <c r="U484" s="187">
        <v>10637</v>
      </c>
      <c r="V484" s="186">
        <v>1880.082026</v>
      </c>
      <c r="W484" s="186">
        <f t="shared" si="92"/>
        <v>19998432.510561999</v>
      </c>
      <c r="X484" s="263" t="s">
        <v>6463</v>
      </c>
      <c r="Y484" t="s">
        <v>25</v>
      </c>
      <c r="AI484" t="s">
        <v>4118</v>
      </c>
      <c r="AJ484" s="112">
        <f>AJ483-AJ479</f>
        <v>2975232022.151772</v>
      </c>
    </row>
    <row r="485" spans="17:40">
      <c r="Q485" s="97" t="s">
        <v>5731</v>
      </c>
      <c r="R485" s="93">
        <v>710713.17725199996</v>
      </c>
      <c r="T485" s="19" t="s">
        <v>6471</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6481</v>
      </c>
      <c r="U486" s="19">
        <v>325</v>
      </c>
      <c r="V486" s="115">
        <v>1789.1845169999999</v>
      </c>
      <c r="W486" s="115">
        <f t="shared" si="92"/>
        <v>581484.96802499995</v>
      </c>
      <c r="X486" s="264" t="s">
        <v>5114</v>
      </c>
      <c r="Z486" t="s">
        <v>25</v>
      </c>
      <c r="AI486" t="s">
        <v>4049</v>
      </c>
      <c r="AJ486" s="112">
        <f>AJ484-AJ485</f>
        <v>2853243984.6070194</v>
      </c>
      <c r="AM486" t="s">
        <v>25</v>
      </c>
      <c r="AN486" t="s">
        <v>25</v>
      </c>
    </row>
    <row r="487" spans="17:40">
      <c r="Q487" s="97" t="s">
        <v>5735</v>
      </c>
      <c r="R487" s="93">
        <v>219696.613128</v>
      </c>
      <c r="T487" s="19" t="s">
        <v>6484</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6484</v>
      </c>
      <c r="U488" s="19">
        <v>3240</v>
      </c>
      <c r="V488" s="115">
        <v>1851.788857</v>
      </c>
      <c r="W488" s="115">
        <f t="shared" si="92"/>
        <v>5999795.8966800002</v>
      </c>
      <c r="X488" s="264" t="s">
        <v>6487</v>
      </c>
    </row>
    <row r="489" spans="17:40">
      <c r="Q489" s="97" t="s">
        <v>5739</v>
      </c>
      <c r="R489" s="93">
        <v>984486.34963200008</v>
      </c>
      <c r="T489" s="19" t="s">
        <v>6484</v>
      </c>
      <c r="U489" s="19">
        <v>-3240</v>
      </c>
      <c r="V489" s="115">
        <v>1851.788857</v>
      </c>
      <c r="W489" s="115">
        <f t="shared" si="92"/>
        <v>-5999795.8966800002</v>
      </c>
      <c r="X489" s="264" t="s">
        <v>6488</v>
      </c>
      <c r="Z489" t="s">
        <v>25</v>
      </c>
      <c r="AA489" t="s">
        <v>25</v>
      </c>
    </row>
    <row r="490" spans="17:40">
      <c r="Q490" s="97" t="s">
        <v>5751</v>
      </c>
      <c r="R490" s="93">
        <v>2143469.938015</v>
      </c>
      <c r="T490" s="19" t="s">
        <v>6489</v>
      </c>
      <c r="U490" s="19">
        <v>330</v>
      </c>
      <c r="V490" s="115">
        <v>1799.34311</v>
      </c>
      <c r="W490" s="115">
        <f t="shared" si="92"/>
        <v>593783.22629999998</v>
      </c>
      <c r="X490" s="264" t="s">
        <v>5114</v>
      </c>
      <c r="AN490" t="s">
        <v>25</v>
      </c>
    </row>
    <row r="491" spans="17:40">
      <c r="Q491" s="97" t="s">
        <v>5753</v>
      </c>
      <c r="R491" s="93">
        <v>3085460.5177150001</v>
      </c>
      <c r="T491" s="19" t="s">
        <v>6493</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6515</v>
      </c>
      <c r="U492" s="187">
        <v>-10637</v>
      </c>
      <c r="V492" s="186">
        <v>1739.5916549999999</v>
      </c>
      <c r="W492" s="186">
        <f t="shared" si="92"/>
        <v>-18504036.434234999</v>
      </c>
      <c r="X492" s="263" t="s">
        <v>6518</v>
      </c>
      <c r="Y492" t="s">
        <v>25</v>
      </c>
      <c r="AA492" t="s">
        <v>25</v>
      </c>
      <c r="AB492" t="s">
        <v>25</v>
      </c>
    </row>
    <row r="493" spans="17:40">
      <c r="Q493" s="97" t="s">
        <v>5760</v>
      </c>
      <c r="R493" s="93">
        <v>6572373.7593120001</v>
      </c>
      <c r="T493" s="19" t="s">
        <v>6515</v>
      </c>
      <c r="U493" s="19">
        <v>10637</v>
      </c>
      <c r="V493" s="115">
        <v>1739.5916549999999</v>
      </c>
      <c r="W493" s="115">
        <f t="shared" si="92"/>
        <v>18504036.434234999</v>
      </c>
      <c r="X493" s="264" t="s">
        <v>6519</v>
      </c>
    </row>
    <row r="494" spans="17:40">
      <c r="Q494" s="97" t="s">
        <v>5762</v>
      </c>
      <c r="R494" s="93">
        <v>2893243.5730909999</v>
      </c>
      <c r="T494" s="19"/>
      <c r="U494" s="19"/>
      <c r="V494" s="115"/>
      <c r="W494" s="115"/>
      <c r="X494" s="264"/>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4309759</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1872.4972681767124</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-469922</v>
      </c>
      <c r="V507">
        <f>U507/T504</f>
        <v>-250.9600457028022</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2397012607.7952032</v>
      </c>
      <c r="U517" s="93">
        <f>R195</f>
        <v>8070011954</v>
      </c>
      <c r="V517" s="93">
        <f>U517-T517</f>
        <v>5672999346.2047968</v>
      </c>
    </row>
    <row r="518" spans="16:24">
      <c r="Q518" s="97" t="s">
        <v>5918</v>
      </c>
      <c r="R518" s="93">
        <v>259993.58394100002</v>
      </c>
      <c r="W518" s="94" t="s">
        <v>25</v>
      </c>
    </row>
    <row r="519" spans="16:24">
      <c r="Q519" s="97" t="s">
        <v>5922</v>
      </c>
      <c r="R519" s="93">
        <v>269955.31205999997</v>
      </c>
    </row>
    <row r="520" spans="16:24">
      <c r="Q520" s="97" t="s">
        <v>6471</v>
      </c>
      <c r="R520" s="93">
        <v>560534.38387200003</v>
      </c>
      <c r="T520" s="115"/>
      <c r="V520" s="112">
        <f>(444000000+2500000)*2/3</f>
        <v>297666666.66666669</v>
      </c>
    </row>
    <row r="521" spans="16:24">
      <c r="Q521" s="97" t="s">
        <v>6481</v>
      </c>
      <c r="R521" s="93">
        <v>581484.96802499995</v>
      </c>
    </row>
    <row r="522" spans="16:24">
      <c r="Q522" s="97" t="s">
        <v>6484</v>
      </c>
      <c r="R522" s="93">
        <v>2136964.3409779998</v>
      </c>
      <c r="T522" s="112">
        <f>W325+W326+W328+W329+W331+W332</f>
        <v>-301699041.74755996</v>
      </c>
    </row>
    <row r="523" spans="16:24">
      <c r="Q523" s="97" t="s">
        <v>6489</v>
      </c>
      <c r="R523" s="93">
        <v>593783.22629999998</v>
      </c>
      <c r="T523" t="s">
        <v>25</v>
      </c>
    </row>
    <row r="524" spans="16:24">
      <c r="Q524" s="97" t="s">
        <v>6493</v>
      </c>
      <c r="R524" s="93">
        <v>469469.96222000004</v>
      </c>
      <c r="T524" s="112">
        <f>V520+T522</f>
        <v>-4032375.0808932781</v>
      </c>
    </row>
    <row r="525" spans="16:24">
      <c r="Q525" s="97"/>
      <c r="R525" s="93"/>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2134570045.3558643</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t="s">
        <v>25</v>
      </c>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D23" sqref="D2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1840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1045</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20.47846889952153</v>
      </c>
      <c r="J4" s="97">
        <f t="shared" si="2"/>
        <v>1.1565027949943425</v>
      </c>
      <c r="K4" s="97">
        <f t="shared" si="3"/>
        <v>-16.092418224299077</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20.47846889952153</v>
      </c>
      <c r="J5" s="97">
        <f t="shared" si="2"/>
        <v>1.1393835102000183</v>
      </c>
      <c r="K5" s="97">
        <f t="shared" si="3"/>
        <v>-14.793239199288532</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20.47846889952153</v>
      </c>
      <c r="J6" s="97">
        <f t="shared" si="2"/>
        <v>1.1298727964253938</v>
      </c>
      <c r="K6" s="97">
        <f t="shared" si="3"/>
        <v>-14.054461751471104</v>
      </c>
      <c r="L6" s="97"/>
      <c r="M6" s="97"/>
      <c r="N6" s="282">
        <f>H6/H5</f>
        <v>1.0084175084175084</v>
      </c>
      <c r="P6" s="113"/>
      <c r="Q6" s="67" t="s">
        <v>5879</v>
      </c>
      <c r="R6" s="303">
        <v>450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20.47846889952153</v>
      </c>
      <c r="J7" s="97">
        <f t="shared" si="2"/>
        <v>1.1260685109155439</v>
      </c>
      <c r="K7" s="97">
        <f t="shared" si="3"/>
        <v>-13.75545655468553</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20.47846889952153</v>
      </c>
      <c r="J8" s="97">
        <f t="shared" si="2"/>
        <v>1.1425405635662826</v>
      </c>
      <c r="K8" s="97">
        <f t="shared" si="3"/>
        <v>-15.035755182062161</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14.44976076555024</v>
      </c>
      <c r="J9" s="20">
        <f t="shared" si="2"/>
        <v>1.0333885177820616</v>
      </c>
      <c r="K9" s="20">
        <f t="shared" si="3"/>
        <v>-5.7909743341954982</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14.44976076555024</v>
      </c>
      <c r="J10" s="20">
        <f t="shared" si="2"/>
        <v>1.2568298384814098</v>
      </c>
      <c r="K10" s="20">
        <f t="shared" si="3"/>
        <v>-22.994734330601961</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14.44976076555024</v>
      </c>
      <c r="J11" s="20">
        <f t="shared" si="2"/>
        <v>1.2455938099530777</v>
      </c>
      <c r="K11" s="20">
        <f t="shared" si="3"/>
        <v>-22.277006297769685</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14.44976076555024</v>
      </c>
      <c r="J12" s="20">
        <f t="shared" si="2"/>
        <v>1.2335959711531794</v>
      </c>
      <c r="K12" s="20">
        <f t="shared" si="3"/>
        <v>-21.496181425334203</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14.44976076555024</v>
      </c>
      <c r="J13" s="20">
        <f t="shared" si="2"/>
        <v>1.2176125389146919</v>
      </c>
      <c r="K13" s="20">
        <f t="shared" si="3"/>
        <v>-20.432067834375211</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14.44976076555024</v>
      </c>
      <c r="J14" s="20">
        <f t="shared" si="2"/>
        <v>1.2275722394956785</v>
      </c>
      <c r="K14" s="20">
        <f t="shared" si="3"/>
        <v>-21.098398977576405</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14.44976076555024</v>
      </c>
      <c r="J15" s="20">
        <f t="shared" si="2"/>
        <v>1.1970751616907176</v>
      </c>
      <c r="K15" s="20">
        <f t="shared" si="3"/>
        <v>-19.023056623142519</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14.44976076555024</v>
      </c>
      <c r="J16" s="20">
        <f t="shared" si="2"/>
        <v>1.1738486929869809</v>
      </c>
      <c r="K16" s="20">
        <f t="shared" si="3"/>
        <v>-17.370144955275691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14.44976076555024</v>
      </c>
      <c r="J17" s="20">
        <f t="shared" si="2"/>
        <v>1.15195636207915</v>
      </c>
      <c r="K17" s="20">
        <f t="shared" si="3"/>
        <v>-15.751156113317188</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14.44976076555024</v>
      </c>
      <c r="J18" s="20">
        <f t="shared" si="2"/>
        <v>1.1432162527413248</v>
      </c>
      <c r="K18" s="20">
        <f t="shared" si="3"/>
        <v>-15.087485713915083</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14.44976076555024</v>
      </c>
      <c r="J19" s="20">
        <f t="shared" si="2"/>
        <v>1.1226204007520355</v>
      </c>
      <c r="K19" s="20">
        <f t="shared" si="3"/>
        <v>-13.48269485481406</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14.44976076555024</v>
      </c>
      <c r="J20" s="20">
        <f t="shared" si="2"/>
        <v>1.0524187829255665</v>
      </c>
      <c r="K20" s="20">
        <f t="shared" si="3"/>
        <v>-7.5407912758693074</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14.44976076555024</v>
      </c>
      <c r="J21" s="20">
        <f t="shared" si="2"/>
        <v>1.0155394316915438</v>
      </c>
      <c r="K21" s="321">
        <f t="shared" si="3"/>
        <v>-4.0901652704573461</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0.78453453453453459</v>
      </c>
      <c r="J22" s="97">
        <f>I22/H22</f>
        <v>0.92712236732409647</v>
      </c>
      <c r="K22" s="320">
        <f t="shared" si="3"/>
        <v>5.3006271668589289</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0.98448399761629335</v>
      </c>
      <c r="Q23" s="94">
        <f>I22/P22</f>
        <v>0.98448399761629335</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287</v>
      </c>
    </row>
    <row r="25" spans="1:24">
      <c r="A25" s="60" t="s">
        <v>6457</v>
      </c>
      <c r="B25" s="60" t="s">
        <v>4357</v>
      </c>
      <c r="C25" s="49">
        <v>14500</v>
      </c>
      <c r="D25" s="60">
        <v>32</v>
      </c>
      <c r="E25" s="150" t="s">
        <v>5917</v>
      </c>
      <c r="F25" s="230">
        <v>1973</v>
      </c>
      <c r="G25" s="150">
        <f t="shared" si="0"/>
        <v>232.22829744562071</v>
      </c>
      <c r="H25" s="150">
        <f t="shared" si="1"/>
        <v>7.3492143943233659</v>
      </c>
      <c r="I25" s="150">
        <f>$R$4/$R$1</f>
        <v>8.2065217391304355</v>
      </c>
      <c r="J25" s="97">
        <f t="shared" si="2"/>
        <v>1.116652923538231</v>
      </c>
      <c r="K25" s="97">
        <f t="shared" si="3"/>
        <v>-13.006659036059665</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8.2065217391304355</v>
      </c>
      <c r="J26" s="97">
        <f t="shared" si="2"/>
        <v>1.0739831938819255</v>
      </c>
      <c r="K26" s="320">
        <f t="shared" si="3"/>
        <v>-9.4486733333798654</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0.56793478260869568</v>
      </c>
      <c r="J27" s="97">
        <f t="shared" si="2"/>
        <v>1.0696652215799616</v>
      </c>
      <c r="K27" s="97">
        <f t="shared" si="3"/>
        <v>-9.0728060793695668</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0.56793478260869568</v>
      </c>
      <c r="J28" s="97">
        <f>I28/H28</f>
        <v>1.0256374977068428</v>
      </c>
      <c r="K28" s="97">
        <f>(1/J28-1.0256)*100</f>
        <v>-5.059664624603144</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0.56793478260869568</v>
      </c>
      <c r="J29" s="97">
        <f>I29/H29</f>
        <v>1.0207315263061747</v>
      </c>
      <c r="K29" s="97">
        <f>(1/J29-1.0256)*100</f>
        <v>-4.59104594811508</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33.555555555555557</v>
      </c>
      <c r="J31" s="97">
        <f t="shared" si="2"/>
        <v>1.0679056045920374</v>
      </c>
      <c r="K31" s="97">
        <f>(1/J31-1.0146358)*100</f>
        <v>-7.8223446979321487</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10191.047512352166</v>
      </c>
      <c r="K33" s="97">
        <f>J33-D33</f>
        <v>191.04751235216645</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4081.3554563331572</v>
      </c>
      <c r="K34" s="97">
        <f>J34-D34</f>
        <v>81.355456333157235</v>
      </c>
      <c r="L34" s="97"/>
      <c r="M34" s="97"/>
      <c r="N34" s="97"/>
      <c r="P34">
        <f>C33/F33</f>
        <v>2.6128205128205129</v>
      </c>
      <c r="Q34">
        <f>R2/R6</f>
        <v>2.3222222222222224</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101070.80216594337</v>
      </c>
      <c r="K35" s="97">
        <f>J35-D35</f>
        <v>2070.8021659433725</v>
      </c>
      <c r="L35" s="97"/>
      <c r="M35" s="97"/>
      <c r="N35" s="97"/>
      <c r="P35" s="112">
        <f>C33-F33</f>
        <v>629</v>
      </c>
      <c r="Q35" s="112">
        <f>R2-R6</f>
        <v>595</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20.47846889952153</v>
      </c>
      <c r="J40" s="97">
        <f>I40/H40</f>
        <v>1.1289217250479313</v>
      </c>
      <c r="K40" s="97">
        <f>(1/J40-1.0256)*100</f>
        <v>-13.979899377209492</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20.47846889952153</v>
      </c>
      <c r="J41" s="97">
        <f>I41/H41</f>
        <v>1.060454787995794</v>
      </c>
      <c r="K41" s="97">
        <f>(1/J41-1.0256)*100</f>
        <v>-8.2608359696362488</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20.47846889952153</v>
      </c>
      <c r="J42" s="97">
        <f>I42/H42</f>
        <v>1.015413189468853</v>
      </c>
      <c r="K42" s="97">
        <f>(1/J42-1.0256)*100</f>
        <v>-4.0779229134216166</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20.47846889952153</v>
      </c>
      <c r="J43" s="97">
        <f>I43/H43</f>
        <v>0.98793617745390483</v>
      </c>
      <c r="K43" s="97">
        <f>(1/J43-1.0256)*100</f>
        <v>-1.3388864481928664</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20.47846889952153</v>
      </c>
      <c r="J44" s="97">
        <f>I44/H44</f>
        <v>0.99479851143009035</v>
      </c>
      <c r="K44" s="97">
        <f>(1/J44-1.0256)*100</f>
        <v>-2.0371314482133585</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1039</v>
      </c>
      <c r="H4" s="115">
        <f>C4*G4</f>
        <v>306505000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333660261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1039</v>
      </c>
      <c r="H19" s="115">
        <f>C19*G19</f>
        <v>13440504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292997132</v>
      </c>
    </row>
    <row r="26" spans="1:8">
      <c r="D26" t="s">
        <v>5403</v>
      </c>
      <c r="E26" s="112">
        <f>'خرید خانه'!H10+'خرید خانه'!H23-'خرید خانه'!D10-'خرید خانه'!D23</f>
        <v>324957393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2021-06-08T11:12:54Z</dcterms:modified>
</cp:coreProperties>
</file>