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370D1D76-1040-4505-B7E3-FEEDB3FDDD8E}"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62" i="63" l="1"/>
  <c r="H62" i="63"/>
  <c r="M62" i="63" s="1"/>
  <c r="D40" i="63"/>
  <c r="H40" i="63" s="1"/>
  <c r="M40" i="63" s="1"/>
  <c r="D25" i="63"/>
  <c r="H25" i="63" s="1"/>
  <c r="M25" i="63" s="1"/>
  <c r="D32" i="63"/>
  <c r="I62" i="63" l="1"/>
  <c r="J62" i="63" s="1"/>
  <c r="K62" i="63" s="1"/>
  <c r="L62" i="63" s="1"/>
  <c r="I40" i="63"/>
  <c r="J40" i="63" s="1"/>
  <c r="K40" i="63" s="1"/>
  <c r="L40" i="63" s="1"/>
  <c r="I25" i="63"/>
  <c r="J25" i="63" s="1"/>
  <c r="K25" i="63" s="1"/>
  <c r="L25" i="63" s="1"/>
  <c r="R506" i="18"/>
  <c r="P46" i="63"/>
  <c r="R505" i="18"/>
  <c r="H8" i="18"/>
  <c r="H7" i="18"/>
  <c r="H6" i="18"/>
  <c r="H38" i="18"/>
  <c r="D31" i="63" l="1"/>
  <c r="D24" i="63"/>
  <c r="H24" i="63" s="1"/>
  <c r="D48" i="63"/>
  <c r="H48" i="63" s="1"/>
  <c r="D39" i="63"/>
  <c r="H39" i="63" s="1"/>
  <c r="I24" i="63" l="1"/>
  <c r="J24" i="63" s="1"/>
  <c r="K24" i="63" s="1"/>
  <c r="L24" i="63" s="1"/>
  <c r="M24" i="63"/>
  <c r="I39" i="63"/>
  <c r="J39" i="63" s="1"/>
  <c r="K39" i="63" s="1"/>
  <c r="L39" i="63" s="1"/>
  <c r="M39" i="63"/>
  <c r="I48" i="63"/>
  <c r="J48" i="63" s="1"/>
  <c r="K48" i="63" s="1"/>
  <c r="L48" i="63" s="1"/>
  <c r="M48" i="63"/>
  <c r="D23" i="63"/>
  <c r="H23" i="63" s="1"/>
  <c r="D38" i="63"/>
  <c r="H38" i="63" s="1"/>
  <c r="I19" i="63"/>
  <c r="G19" i="63"/>
  <c r="H19" i="63"/>
  <c r="I38" i="63" l="1"/>
  <c r="J38" i="63" s="1"/>
  <c r="K38" i="63" s="1"/>
  <c r="L38" i="63" s="1"/>
  <c r="M38" i="63"/>
  <c r="I23" i="63"/>
  <c r="J23" i="63" s="1"/>
  <c r="K23" i="63" s="1"/>
  <c r="L23" i="63" s="1"/>
  <c r="M23" i="63"/>
  <c r="J19" i="63"/>
  <c r="K19" i="63" s="1"/>
  <c r="Q41" i="63"/>
  <c r="R41" i="63"/>
  <c r="S41" i="63"/>
  <c r="D33" i="63"/>
  <c r="H33" i="63" s="1"/>
  <c r="I33" i="63" l="1"/>
  <c r="J33" i="63" s="1"/>
  <c r="K33" i="63" s="1"/>
  <c r="L33" i="63" s="1"/>
  <c r="M33" i="63"/>
  <c r="G1" i="63"/>
  <c r="P42" i="63"/>
  <c r="E55" i="60" l="1"/>
  <c r="D55" i="60" s="1"/>
  <c r="E56" i="60"/>
  <c r="D56" i="60" s="1"/>
  <c r="E57" i="60"/>
  <c r="D57" i="60" s="1"/>
  <c r="E58" i="60"/>
  <c r="D58" i="60" s="1"/>
  <c r="E59" i="60"/>
  <c r="D59" i="60" s="1"/>
  <c r="E54" i="60"/>
  <c r="D54" i="60" s="1"/>
  <c r="E60" i="60" l="1"/>
  <c r="D60" i="60" s="1"/>
  <c r="C14" i="71" l="1"/>
  <c r="E14" i="71"/>
  <c r="G14" i="71"/>
  <c r="D41" i="63" l="1"/>
  <c r="H41" i="63" s="1"/>
  <c r="M41" i="63" s="1"/>
  <c r="D37" i="63"/>
  <c r="H37" i="63" s="1"/>
  <c r="M37" i="63" s="1"/>
  <c r="I41" i="63" l="1"/>
  <c r="J41" i="63" s="1"/>
  <c r="K41" i="63" s="1"/>
  <c r="L41" i="63" s="1"/>
  <c r="I37" i="63"/>
  <c r="J37" i="63" s="1"/>
  <c r="K37" i="63" s="1"/>
  <c r="L37" i="63" s="1"/>
  <c r="D61" i="63"/>
  <c r="H61" i="63" s="1"/>
  <c r="M61" i="63" s="1"/>
  <c r="D55" i="63"/>
  <c r="H55" i="63" s="1"/>
  <c r="M55" i="63" s="1"/>
  <c r="D60" i="63"/>
  <c r="H60" i="63" s="1"/>
  <c r="M60" i="63" s="1"/>
  <c r="D54" i="63"/>
  <c r="H54" i="63" s="1"/>
  <c r="M54" i="63" s="1"/>
  <c r="D47" i="63"/>
  <c r="H47" i="63" s="1"/>
  <c r="M47" i="63" s="1"/>
  <c r="D36" i="63"/>
  <c r="H36" i="63" s="1"/>
  <c r="M36" i="63" s="1"/>
  <c r="I61" i="63" l="1"/>
  <c r="J61" i="63" s="1"/>
  <c r="K61" i="63" s="1"/>
  <c r="L61" i="63" s="1"/>
  <c r="I55" i="63"/>
  <c r="J55" i="63" s="1"/>
  <c r="K55" i="63" s="1"/>
  <c r="L55" i="63" s="1"/>
  <c r="I60" i="63"/>
  <c r="J60" i="63" s="1"/>
  <c r="K60" i="63" s="1"/>
  <c r="L60" i="63" s="1"/>
  <c r="I54" i="63"/>
  <c r="J54" i="63" s="1"/>
  <c r="K54" i="63" s="1"/>
  <c r="L54" i="63" s="1"/>
  <c r="I47" i="63"/>
  <c r="J47" i="63" s="1"/>
  <c r="K47" i="63" s="1"/>
  <c r="L47" i="63" s="1"/>
  <c r="I36" i="63"/>
  <c r="J36" i="63" s="1"/>
  <c r="K36" i="63" s="1"/>
  <c r="L36" i="63" s="1"/>
  <c r="D34" i="63"/>
  <c r="H32" i="63"/>
  <c r="M32" i="63" s="1"/>
  <c r="D35" i="63"/>
  <c r="H35" i="63" s="1"/>
  <c r="M35" i="63" s="1"/>
  <c r="I35" i="63" l="1"/>
  <c r="J35" i="63" s="1"/>
  <c r="K35" i="63" s="1"/>
  <c r="L35"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6" i="63"/>
  <c r="H46" i="63" s="1"/>
  <c r="M46" i="63" s="1"/>
  <c r="D53" i="63"/>
  <c r="H53" i="63" s="1"/>
  <c r="M53" i="63" s="1"/>
  <c r="D59" i="63"/>
  <c r="H59" i="63" s="1"/>
  <c r="M59" i="63" s="1"/>
  <c r="D66" i="63"/>
  <c r="H66" i="63" s="1"/>
  <c r="M66" i="63" s="1"/>
  <c r="H31" i="63"/>
  <c r="M31" i="63" s="1"/>
  <c r="D65" i="63"/>
  <c r="D64" i="63"/>
  <c r="D63" i="63"/>
  <c r="D58" i="63"/>
  <c r="D57" i="63"/>
  <c r="D56" i="63"/>
  <c r="D52" i="63"/>
  <c r="D51" i="63"/>
  <c r="D50" i="63"/>
  <c r="D49" i="63"/>
  <c r="D45" i="63"/>
  <c r="H45" i="63" s="1"/>
  <c r="M45" i="63" s="1"/>
  <c r="D44" i="63"/>
  <c r="H44" i="63" s="1"/>
  <c r="M44" i="63" s="1"/>
  <c r="D43" i="63"/>
  <c r="H43" i="63" s="1"/>
  <c r="M43" i="63" s="1"/>
  <c r="D42" i="63"/>
  <c r="H42" i="63" s="1"/>
  <c r="M42" i="63" s="1"/>
  <c r="D30" i="63"/>
  <c r="D29" i="63"/>
  <c r="D28" i="63"/>
  <c r="D27" i="63"/>
  <c r="D22" i="63"/>
  <c r="H34" i="63"/>
  <c r="M34" i="63" s="1"/>
  <c r="I32" i="63" l="1"/>
  <c r="J32" i="63" s="1"/>
  <c r="K32" i="63" s="1"/>
  <c r="P22" i="63"/>
  <c r="Q22" i="63"/>
  <c r="J18" i="63"/>
  <c r="K18" i="63" s="1"/>
  <c r="E7" i="80"/>
  <c r="E8" i="80" s="1"/>
  <c r="I66" i="63"/>
  <c r="J66" i="63" s="1"/>
  <c r="K66" i="63" s="1"/>
  <c r="L66" i="63" s="1"/>
  <c r="I59" i="63"/>
  <c r="J59" i="63" s="1"/>
  <c r="K59" i="63" s="1"/>
  <c r="L59" i="63" s="1"/>
  <c r="I53" i="63"/>
  <c r="J53" i="63" s="1"/>
  <c r="K53" i="63" s="1"/>
  <c r="L53" i="63" s="1"/>
  <c r="I46" i="63"/>
  <c r="J46" i="63" s="1"/>
  <c r="K46" i="63" s="1"/>
  <c r="L46" i="63" s="1"/>
  <c r="I34" i="63"/>
  <c r="J34" i="63" s="1"/>
  <c r="K34" i="63" s="1"/>
  <c r="L34" i="63" s="1"/>
  <c r="I31" i="63"/>
  <c r="J31" i="63" s="1"/>
  <c r="K31" i="63" s="1"/>
  <c r="L31" i="63" s="1"/>
  <c r="P23" i="63" l="1"/>
  <c r="P26" i="63" s="1"/>
  <c r="L32" i="63"/>
  <c r="H65" i="63"/>
  <c r="H58" i="63"/>
  <c r="M58" i="63" s="1"/>
  <c r="H52" i="63"/>
  <c r="H30" i="63"/>
  <c r="M30" i="63" s="1"/>
  <c r="P34" i="63"/>
  <c r="I1" i="63" s="1"/>
  <c r="I65" i="63" l="1"/>
  <c r="M65" i="63"/>
  <c r="I52" i="63"/>
  <c r="J52" i="63" s="1"/>
  <c r="K52" i="63" s="1"/>
  <c r="L52" i="63" s="1"/>
  <c r="M52" i="63"/>
  <c r="J65" i="63"/>
  <c r="K65" i="63" s="1"/>
  <c r="L65" i="63" s="1"/>
  <c r="I45" i="63"/>
  <c r="J45" i="63" s="1"/>
  <c r="K45" i="63" s="1"/>
  <c r="L45" i="63" s="1"/>
  <c r="I58" i="63"/>
  <c r="I30" i="63"/>
  <c r="J30" i="63" s="1"/>
  <c r="K30" i="63" s="1"/>
  <c r="L30" i="63" s="1"/>
  <c r="H29" i="63"/>
  <c r="M29" i="63" s="1"/>
  <c r="J58" i="63" l="1"/>
  <c r="K58" i="63" s="1"/>
  <c r="L58" i="63" s="1"/>
  <c r="I29" i="63"/>
  <c r="J29" i="63" s="1"/>
  <c r="K29" i="63" s="1"/>
  <c r="L29" i="63" s="1"/>
  <c r="H28" i="63"/>
  <c r="M28" i="63" s="1"/>
  <c r="H49" i="63"/>
  <c r="M49" i="63" s="1"/>
  <c r="H50" i="63"/>
  <c r="M50" i="63" s="1"/>
  <c r="H51" i="63"/>
  <c r="H56" i="63"/>
  <c r="M56" i="63" s="1"/>
  <c r="H57" i="63"/>
  <c r="M57" i="63" s="1"/>
  <c r="H64" i="63"/>
  <c r="M64" i="63" s="1"/>
  <c r="I2" i="63"/>
  <c r="I51" i="63" l="1"/>
  <c r="J51" i="63" s="1"/>
  <c r="K51" i="63" s="1"/>
  <c r="L51" i="63" s="1"/>
  <c r="M51" i="63"/>
  <c r="I28" i="63"/>
  <c r="J28" i="63" s="1"/>
  <c r="I44" i="63"/>
  <c r="J44" i="63" s="1"/>
  <c r="K44" i="63" s="1"/>
  <c r="L44" i="63" s="1"/>
  <c r="I64" i="63"/>
  <c r="J64" i="63" s="1"/>
  <c r="K64" i="63" s="1"/>
  <c r="L64" i="63" s="1"/>
  <c r="F34" i="18"/>
  <c r="K28" i="63" l="1"/>
  <c r="L28" i="63" s="1"/>
  <c r="H27" i="63"/>
  <c r="M27" i="63" s="1"/>
  <c r="I27" i="63" l="1"/>
  <c r="H63" i="63"/>
  <c r="M63" i="63" s="1"/>
  <c r="H17" i="63"/>
  <c r="I17" i="63"/>
  <c r="G17" i="63"/>
  <c r="J27" i="63" l="1"/>
  <c r="K27" i="63" s="1"/>
  <c r="L27" i="63" s="1"/>
  <c r="I63" i="63"/>
  <c r="J63" i="63" s="1"/>
  <c r="K63" i="63" s="1"/>
  <c r="L63" i="63" s="1"/>
  <c r="I43" i="63"/>
  <c r="J43" i="63" s="1"/>
  <c r="K43" i="63" s="1"/>
  <c r="L43" i="63" s="1"/>
  <c r="I57" i="63"/>
  <c r="J57" i="63" s="1"/>
  <c r="K57" i="63" s="1"/>
  <c r="L57" i="63" s="1"/>
  <c r="I50" i="63"/>
  <c r="J50" i="63" s="1"/>
  <c r="K50" i="63" s="1"/>
  <c r="L50" i="63" s="1"/>
  <c r="J17" i="63"/>
  <c r="K17" i="63" s="1"/>
  <c r="I49" i="63" l="1"/>
  <c r="J49" i="63" s="1"/>
  <c r="K49" i="63" s="1"/>
  <c r="L49" i="63" s="1"/>
  <c r="I42" i="63"/>
  <c r="J42" i="63" s="1"/>
  <c r="K42" i="63" s="1"/>
  <c r="L42" i="63" s="1"/>
  <c r="I56" i="63"/>
  <c r="J56" i="63" s="1"/>
  <c r="K56" i="63" s="1"/>
  <c r="L56" i="63" s="1"/>
  <c r="H22" i="63"/>
  <c r="M22" i="63" s="1"/>
  <c r="P45" i="63" s="1"/>
  <c r="H26" i="63"/>
  <c r="M26" i="63" s="1"/>
  <c r="P48" i="63" l="1"/>
  <c r="P49" i="63" s="1"/>
  <c r="P50" i="63" s="1"/>
  <c r="H14" i="18"/>
  <c r="I22" i="63"/>
  <c r="J22" i="63" s="1"/>
  <c r="I26" i="63"/>
  <c r="K22" i="63" l="1"/>
  <c r="L22" i="63" s="1"/>
  <c r="J26" i="63"/>
  <c r="Q42" i="63" s="1"/>
  <c r="E34" i="18"/>
  <c r="K26" i="63" l="1"/>
  <c r="L26" i="63" s="1"/>
  <c r="Q43" i="63"/>
  <c r="H13" i="18"/>
  <c r="G15" i="63"/>
  <c r="H15" i="63"/>
  <c r="G14" i="63" l="1"/>
  <c r="H14" i="63"/>
  <c r="B124" i="18"/>
  <c r="G13" i="63"/>
  <c r="H13" i="63"/>
  <c r="G12" i="63"/>
  <c r="H12" i="63"/>
  <c r="G11" i="63"/>
  <c r="H11" i="63"/>
  <c r="B122" i="18"/>
  <c r="H10" i="63" l="1"/>
  <c r="G10" i="63"/>
  <c r="D6" i="18"/>
  <c r="J78" i="63"/>
  <c r="K78" i="63" s="1"/>
  <c r="L78" i="63" s="1"/>
  <c r="H2" i="63"/>
  <c r="G2" i="63"/>
  <c r="H9" i="63"/>
  <c r="G9" i="63"/>
  <c r="M78" i="63" l="1"/>
  <c r="N75" i="63" s="1"/>
  <c r="O75" i="63" s="1"/>
  <c r="J2" i="63"/>
  <c r="K2" i="63" s="1"/>
  <c r="H8" i="63"/>
  <c r="G8" i="63"/>
  <c r="H7" i="63"/>
  <c r="G7" i="63"/>
  <c r="H1" i="63"/>
  <c r="Q75" i="63" l="1"/>
  <c r="S75" i="63" s="1"/>
  <c r="P75" i="63"/>
  <c r="J1" i="63"/>
  <c r="K1" i="63" s="1"/>
  <c r="J77" i="63"/>
  <c r="K77" i="63" s="1"/>
  <c r="L77" i="63" s="1"/>
  <c r="M77" i="63" l="1"/>
  <c r="N74" i="63" s="1"/>
  <c r="O74" i="63" s="1"/>
  <c r="R504" i="18"/>
  <c r="Q74" i="63" l="1"/>
  <c r="S74" i="63" s="1"/>
  <c r="P74" i="63"/>
  <c r="R503" i="18"/>
  <c r="P3" i="63" l="1"/>
  <c r="O33" i="63" l="1"/>
  <c r="F29" i="18"/>
  <c r="I69" i="63"/>
  <c r="H69" i="63"/>
  <c r="G69"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9" i="63"/>
  <c r="L69" i="63" s="1"/>
  <c r="C125" i="18"/>
  <c r="B23" i="18"/>
  <c r="J79" i="63" l="1"/>
  <c r="K79" i="63" s="1"/>
  <c r="L79" i="63" s="1"/>
  <c r="M79"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0" i="63" l="1"/>
  <c r="H110" i="63"/>
  <c r="I110" i="63"/>
  <c r="G111" i="63"/>
  <c r="H111" i="63"/>
  <c r="I111" i="63"/>
  <c r="H109" i="63"/>
  <c r="I109" i="63"/>
  <c r="G109" i="63"/>
  <c r="I108" i="63"/>
  <c r="G108" i="63"/>
  <c r="H108" i="63"/>
  <c r="J109" i="63" l="1"/>
  <c r="K109" i="63" s="1"/>
  <c r="J108" i="63"/>
  <c r="K108" i="63" s="1"/>
  <c r="J111" i="63"/>
  <c r="K111" i="63" s="1"/>
  <c r="J110" i="63"/>
  <c r="K110" i="63" s="1"/>
  <c r="R467" i="18"/>
  <c r="R461" i="18"/>
  <c r="K9" i="18"/>
  <c r="K10" i="18" s="1"/>
  <c r="H10" i="18"/>
  <c r="H9" i="18"/>
  <c r="R455" i="18"/>
  <c r="R454" i="18"/>
  <c r="R469" i="18" l="1"/>
  <c r="R468" i="18" l="1"/>
  <c r="I105" i="63"/>
  <c r="G105" i="63"/>
  <c r="H105" i="63"/>
  <c r="J105" i="63" l="1"/>
  <c r="K105" i="63" s="1"/>
  <c r="I107" i="63"/>
  <c r="G107" i="63" l="1"/>
  <c r="H107" i="63"/>
  <c r="J107" i="63" s="1"/>
  <c r="K107" i="63" s="1"/>
  <c r="I106" i="63"/>
  <c r="G106" i="63"/>
  <c r="H106" i="63"/>
  <c r="G102" i="63"/>
  <c r="H102" i="63"/>
  <c r="I102" i="63"/>
  <c r="I104" i="63"/>
  <c r="H104" i="63"/>
  <c r="G104" i="63"/>
  <c r="I101" i="63"/>
  <c r="J102" i="63" l="1"/>
  <c r="K102" i="63" s="1"/>
  <c r="J106" i="63"/>
  <c r="K106" i="63" s="1"/>
  <c r="J104" i="63"/>
  <c r="K104" i="63" s="1"/>
  <c r="G101" i="63" l="1"/>
  <c r="H101" i="63"/>
  <c r="J101" i="63" s="1"/>
  <c r="K101" i="63" s="1"/>
  <c r="I99" i="63"/>
  <c r="H99" i="63"/>
  <c r="G99" i="63"/>
  <c r="I96" i="63"/>
  <c r="H96" i="63"/>
  <c r="G96" i="63"/>
  <c r="I97" i="63"/>
  <c r="I100" i="63"/>
  <c r="I103" i="63"/>
  <c r="H97" i="63"/>
  <c r="H100" i="63"/>
  <c r="G97" i="63"/>
  <c r="G100" i="63"/>
  <c r="G103" i="63"/>
  <c r="H103" i="63"/>
  <c r="I98" i="63"/>
  <c r="I91" i="63"/>
  <c r="I112" i="63"/>
  <c r="G112" i="63"/>
  <c r="I95" i="63"/>
  <c r="G95" i="63"/>
  <c r="H95" i="63"/>
  <c r="J96" i="63" l="1"/>
  <c r="K96" i="63" s="1"/>
  <c r="J97" i="63"/>
  <c r="K97" i="63" s="1"/>
  <c r="J99" i="63"/>
  <c r="K99" i="63" s="1"/>
  <c r="J103" i="63"/>
  <c r="K103" i="63" s="1"/>
  <c r="J100" i="63"/>
  <c r="K100" i="63" s="1"/>
  <c r="J95" i="63"/>
  <c r="K95" i="63" s="1"/>
  <c r="I94" i="63"/>
  <c r="R466" i="18"/>
  <c r="G93" i="63" l="1"/>
  <c r="H93" i="63"/>
  <c r="I93" i="63"/>
  <c r="G94" i="63"/>
  <c r="H94" i="63"/>
  <c r="G98" i="63"/>
  <c r="H98" i="63"/>
  <c r="H112" i="63"/>
  <c r="I92" i="63"/>
  <c r="H92" i="63"/>
  <c r="G92" i="63"/>
  <c r="H91" i="63"/>
  <c r="G91" i="63"/>
  <c r="J112" i="63" l="1"/>
  <c r="K112" i="63" s="1"/>
  <c r="J93" i="63"/>
  <c r="K93" i="63" s="1"/>
  <c r="J91" i="63"/>
  <c r="K91" i="63" s="1"/>
  <c r="J98" i="63"/>
  <c r="K98" i="63" s="1"/>
  <c r="J92" i="63"/>
  <c r="K92" i="63" s="1"/>
  <c r="J94" i="63"/>
  <c r="K94"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5" i="63" l="1"/>
  <c r="H115" i="63"/>
  <c r="I115" i="63"/>
  <c r="G118" i="63"/>
  <c r="H118" i="63"/>
  <c r="I118" i="63"/>
  <c r="J118" i="63" l="1"/>
  <c r="K118" i="63" s="1"/>
  <c r="J115" i="63"/>
  <c r="K115" i="63" s="1"/>
  <c r="R458" i="18"/>
  <c r="R457" i="18" l="1"/>
  <c r="I4" i="60" l="1"/>
  <c r="I3" i="60"/>
  <c r="B6" i="18" l="1"/>
  <c r="I18" i="60"/>
  <c r="G88" i="63" l="1"/>
  <c r="I88" i="63"/>
  <c r="H88" i="63"/>
  <c r="J88" i="63" l="1"/>
  <c r="K88"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3" i="63"/>
  <c r="I144" i="63"/>
  <c r="G144" i="63"/>
  <c r="H144" i="63"/>
  <c r="G143" i="63"/>
  <c r="H143" i="63"/>
  <c r="J144" i="63" l="1"/>
  <c r="K144" i="63" s="1"/>
  <c r="J143" i="63"/>
  <c r="K14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2" i="63"/>
  <c r="H142" i="63"/>
  <c r="I140" i="63"/>
  <c r="I141" i="63"/>
  <c r="I142" i="63"/>
  <c r="I146" i="63"/>
  <c r="J146" i="63" s="1"/>
  <c r="K146" i="63" s="1"/>
  <c r="G141" i="63"/>
  <c r="H141" i="63"/>
  <c r="D5" i="18"/>
  <c r="J142" i="63" l="1"/>
  <c r="K142" i="63" s="1"/>
  <c r="J141" i="63"/>
  <c r="K141" i="63" s="1"/>
  <c r="I139" i="63"/>
  <c r="G140" i="63"/>
  <c r="H140" i="63"/>
  <c r="I137" i="63"/>
  <c r="I138" i="63"/>
  <c r="G139" i="63"/>
  <c r="H139" i="63"/>
  <c r="J140" i="63" l="1"/>
  <c r="K140" i="63" s="1"/>
  <c r="J139" i="63"/>
  <c r="K139" i="63" s="1"/>
  <c r="R435" i="18" l="1"/>
  <c r="H137" i="63"/>
  <c r="H138" i="63"/>
  <c r="G138" i="63"/>
  <c r="J138" i="63" l="1"/>
  <c r="K138" i="63" s="1"/>
  <c r="J137" i="63"/>
  <c r="K137"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0" i="63" l="1"/>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J130" i="63" l="1"/>
  <c r="K130" i="63" s="1"/>
  <c r="J129" i="63"/>
  <c r="K129" i="63" s="1"/>
  <c r="J124" i="63"/>
  <c r="K124" i="63" s="1"/>
  <c r="J123" i="63"/>
  <c r="K123" i="63" s="1"/>
  <c r="J120" i="63"/>
  <c r="K120" i="63" s="1"/>
  <c r="J132" i="63"/>
  <c r="K132" i="63" s="1"/>
  <c r="J131" i="63"/>
  <c r="K131" i="63" s="1"/>
  <c r="J126" i="63"/>
  <c r="K126" i="63" s="1"/>
  <c r="J125" i="63"/>
  <c r="K125" i="63" s="1"/>
  <c r="J133" i="63"/>
  <c r="K133" i="63" s="1"/>
  <c r="J128" i="63"/>
  <c r="K128" i="63" s="1"/>
  <c r="J127" i="63"/>
  <c r="K127" i="63" s="1"/>
  <c r="J122" i="63"/>
  <c r="K122" i="63" s="1"/>
  <c r="J134" i="63"/>
  <c r="K134" i="63" s="1"/>
  <c r="J136" i="63"/>
  <c r="K136" i="63" s="1"/>
  <c r="J135" i="63"/>
  <c r="K135" i="63" s="1"/>
  <c r="J121" i="63"/>
  <c r="K121" i="63" s="1"/>
  <c r="G119" i="63"/>
  <c r="H119" i="63"/>
  <c r="I119" i="63"/>
  <c r="J119" i="63" l="1"/>
  <c r="K11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9" i="63"/>
  <c r="R373" i="18"/>
  <c r="D101" i="72" l="1"/>
  <c r="E102" i="72"/>
  <c r="R372" i="18"/>
  <c r="D100" i="72" l="1"/>
  <c r="E101" i="72"/>
  <c r="E100" i="72" l="1"/>
  <c r="D99" i="72"/>
  <c r="E99" i="72" l="1"/>
  <c r="D98" i="72"/>
  <c r="E98" i="72" l="1"/>
  <c r="D97" i="72"/>
  <c r="D168" i="63"/>
  <c r="E168" i="63"/>
  <c r="G168" i="63" s="1"/>
  <c r="D169" i="63"/>
  <c r="G169" i="63"/>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D187" i="63"/>
  <c r="E187" i="63"/>
  <c r="D188" i="63"/>
  <c r="E188" i="63"/>
  <c r="D189" i="63"/>
  <c r="E189" i="63"/>
  <c r="E167" i="63"/>
  <c r="G167" i="63" s="1"/>
  <c r="D16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H17" i="18" s="1"/>
  <c r="C31" i="18"/>
  <c r="E33"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<sst xmlns="http://schemas.openxmlformats.org/spreadsheetml/2006/main" count="17171" uniqueCount="7073">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</sst>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22383663654</c:v>
                </c:pt>
                <c:pt idx="1">
                  <c:v>0</c:v>
                </c:pt>
                <c:pt idx="2">
                  <c:v>278395480</c:v>
                </c:pt>
                <c:pt idx="3">
                  <c:v>107931636</c:v>
                </c:pt>
                <c:pt idx="4">
                  <c:v>0</c:v>
                </c:pt>
                <c:pt idx="5">
                  <c:v>0</c:v>
                </c:pt>
                <c:pt idx="6">
                  <c:v>0</c:v>
                </c:pt>
                <c:pt idx="7">
                  <c:v>3894725952</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12" sqref="C12"/>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6661</v>
      </c>
      <c r="B1" s="364">
        <v>245473</v>
      </c>
      <c r="C1" s="361"/>
      <c r="D1" s="361"/>
      <c r="E1" s="361">
        <f>B1*100/$C$31</f>
        <v>8.8374341575146384E-4</v>
      </c>
      <c r="F1" s="11"/>
      <c r="G1" s="278" t="s">
        <v>4406</v>
      </c>
      <c r="H1" s="1">
        <f>SUM(B20:B28)</f>
        <v>14221939181.55814</v>
      </c>
      <c r="J1" s="207" t="s">
        <v>4315</v>
      </c>
      <c r="K1" s="207" t="s">
        <v>4326</v>
      </c>
      <c r="L1" s="207" t="s">
        <v>4327</v>
      </c>
      <c r="M1" s="354" t="s">
        <v>25</v>
      </c>
      <c r="N1" s="354" t="s">
        <v>25</v>
      </c>
      <c r="V1" t="s">
        <v>25</v>
      </c>
      <c r="Z1" t="s">
        <v>25</v>
      </c>
      <c r="AA1" t="s">
        <v>25</v>
      </c>
    </row>
    <row r="2" spans="1:27">
      <c r="A2" s="361" t="s">
        <v>6662</v>
      </c>
      <c r="B2" s="364">
        <f>C2*D2</f>
        <v>601666856</v>
      </c>
      <c r="C2" s="371">
        <v>291788</v>
      </c>
      <c r="D2" s="361">
        <f>D20</f>
        <v>2062</v>
      </c>
      <c r="E2" s="361">
        <f>B2*100/$C$31</f>
        <v>2.1661002328805372</v>
      </c>
      <c r="F2" s="11"/>
      <c r="G2" s="354" t="s">
        <v>4318</v>
      </c>
      <c r="H2" s="1">
        <f>SUM(B15:B17)</f>
        <v>7649122160</v>
      </c>
      <c r="I2">
        <f t="shared" ref="I2:I7" si="0">K2-$K$10</f>
        <v>1479980</v>
      </c>
      <c r="J2" s="207" t="s">
        <v>690</v>
      </c>
      <c r="K2" s="207">
        <v>1479980</v>
      </c>
      <c r="L2" s="275">
        <f t="shared" ref="L2:L7" si="1">K2*$O$516</f>
        <v>8413541151.0937872</v>
      </c>
      <c r="M2" s="354">
        <f t="shared" ref="M2:M7" si="2">L2*100/$L$10</f>
        <v>31.262964799960791</v>
      </c>
      <c r="N2" s="1">
        <f t="shared" ref="N2:N7" si="3">M2*0.01*$N$10</f>
        <v>335294101.6711759</v>
      </c>
    </row>
    <row r="3" spans="1:27">
      <c r="E3" s="509"/>
      <c r="F3" t="s">
        <v>25</v>
      </c>
      <c r="G3" s="354" t="s">
        <v>4319</v>
      </c>
      <c r="H3" s="1">
        <f>SUM(B11:B12)</f>
        <v>845700080</v>
      </c>
      <c r="I3">
        <f t="shared" si="0"/>
        <v>2711333</v>
      </c>
      <c r="J3" s="207" t="s">
        <v>4317</v>
      </c>
      <c r="K3" s="207">
        <v>2711333</v>
      </c>
      <c r="L3" s="275">
        <f t="shared" si="1"/>
        <v>15413662191.258375</v>
      </c>
      <c r="M3" s="354">
        <f t="shared" si="2"/>
        <v>57.273955148023681</v>
      </c>
      <c r="N3" s="1">
        <f t="shared" si="3"/>
        <v>614260978.23376954</v>
      </c>
    </row>
    <row r="4" spans="1:27">
      <c r="A4" s="359" t="s">
        <v>6591</v>
      </c>
      <c r="B4" s="468">
        <v>1729368923</v>
      </c>
      <c r="C4" s="372"/>
      <c r="D4" s="468"/>
      <c r="E4" s="361">
        <f>B4*100/$C$31</f>
        <v>6.2260142626946768</v>
      </c>
      <c r="F4" s="11"/>
      <c r="G4" s="354" t="s">
        <v>6833</v>
      </c>
      <c r="H4" s="1">
        <f>SUM(B5:B8)</f>
        <v>563346916</v>
      </c>
      <c r="I4">
        <f t="shared" si="0"/>
        <v>41446</v>
      </c>
      <c r="J4" s="207" t="s">
        <v>4316</v>
      </c>
      <c r="K4" s="207">
        <v>41446</v>
      </c>
      <c r="L4" s="275">
        <f t="shared" si="1"/>
        <v>235616445.18725464</v>
      </c>
      <c r="M4" s="354">
        <f t="shared" si="2"/>
        <v>0.87550158725062166</v>
      </c>
      <c r="N4" s="1">
        <f t="shared" si="3"/>
        <v>9389721.0353272054</v>
      </c>
    </row>
    <row r="5" spans="1:27">
      <c r="A5" s="359" t="s">
        <v>6592</v>
      </c>
      <c r="B5" s="468">
        <f t="shared" ref="B5:B7" si="4">C5*D5</f>
        <v>453640000</v>
      </c>
      <c r="C5" s="372">
        <v>220000</v>
      </c>
      <c r="D5" s="359">
        <f>D20</f>
        <v>2062</v>
      </c>
      <c r="E5" s="361">
        <f>B5*100/$C$31</f>
        <v>1.6331790588842523</v>
      </c>
      <c r="F5" s="11"/>
      <c r="G5" s="354" t="s">
        <v>6834</v>
      </c>
      <c r="H5" s="1">
        <f>SUM(B2:B2)</f>
        <v>601666856</v>
      </c>
      <c r="I5">
        <f t="shared" si="0"/>
        <v>120081</v>
      </c>
      <c r="J5" s="207" t="s">
        <v>1005</v>
      </c>
      <c r="K5" s="207">
        <v>120081</v>
      </c>
      <c r="L5" s="275">
        <f t="shared" si="1"/>
        <v>682648708.06665838</v>
      </c>
      <c r="M5" s="354">
        <f t="shared" si="2"/>
        <v>2.5365802755064881</v>
      </c>
      <c r="N5" s="1">
        <f t="shared" si="3"/>
        <v>27204726.430611547</v>
      </c>
      <c r="T5" t="s">
        <v>25</v>
      </c>
      <c r="U5" t="s">
        <v>25</v>
      </c>
    </row>
    <row r="6" spans="1:27">
      <c r="A6" s="359" t="s">
        <v>7018</v>
      </c>
      <c r="B6" s="468">
        <f t="shared" si="4"/>
        <v>1105280</v>
      </c>
      <c r="C6" s="372">
        <v>2512</v>
      </c>
      <c r="D6" s="359">
        <f>'خرید و فروش نسبتی'!O34</f>
        <v>440</v>
      </c>
      <c r="E6" s="361">
        <f>B6*100/$C$31</f>
        <v>3.9791908786782175E-3</v>
      </c>
      <c r="F6" s="205"/>
      <c r="G6" s="354" t="s">
        <v>4320</v>
      </c>
      <c r="H6" s="1">
        <f>B19</f>
        <v>578501</v>
      </c>
      <c r="I6" s="378">
        <f t="shared" si="0"/>
        <v>287123</v>
      </c>
      <c r="J6" s="207" t="s">
        <v>5281</v>
      </c>
      <c r="K6" s="207">
        <v>287123</v>
      </c>
      <c r="L6" s="275">
        <f t="shared" si="1"/>
        <v>1632266095.4374392</v>
      </c>
      <c r="M6" s="386">
        <f t="shared" si="2"/>
        <v>6.0651605036954166</v>
      </c>
      <c r="N6" s="1">
        <f t="shared" si="3"/>
        <v>65048614.409744076</v>
      </c>
    </row>
    <row r="7" spans="1:27">
      <c r="A7" s="359" t="s">
        <v>4716</v>
      </c>
      <c r="B7" s="468">
        <f t="shared" si="4"/>
        <v>107931636</v>
      </c>
      <c r="C7" s="372">
        <v>6582</v>
      </c>
      <c r="D7" s="359">
        <f>'خرید و فروش نسبتی'!O38</f>
        <v>16398</v>
      </c>
      <c r="E7" s="361">
        <f>B7*100/$C$31</f>
        <v>0.38857174787566723</v>
      </c>
      <c r="F7" s="351"/>
      <c r="G7" s="354" t="s">
        <v>4321</v>
      </c>
      <c r="H7" s="1">
        <f>B14</f>
        <v>1906487055</v>
      </c>
      <c r="I7" s="378">
        <f t="shared" si="0"/>
        <v>94009</v>
      </c>
      <c r="J7" s="207" t="s">
        <v>6832</v>
      </c>
      <c r="K7" s="207">
        <v>94009</v>
      </c>
      <c r="L7" s="275">
        <f t="shared" si="1"/>
        <v>534431945.07572794</v>
      </c>
      <c r="M7" s="386">
        <f t="shared" si="2"/>
        <v>1.9858376855629902</v>
      </c>
      <c r="N7" s="1">
        <f t="shared" si="3"/>
        <v>21298033.219371598</v>
      </c>
      <c r="T7" t="s">
        <v>25</v>
      </c>
    </row>
    <row r="8" spans="1:27">
      <c r="A8" s="339" t="s">
        <v>6908</v>
      </c>
      <c r="B8" s="468">
        <f>C8*D8</f>
        <v>670000</v>
      </c>
      <c r="C8" s="372">
        <v>5000</v>
      </c>
      <c r="D8" s="359">
        <f>D24</f>
        <v>134</v>
      </c>
      <c r="E8" s="361">
        <f>B8*100/$C$31</f>
        <v>2.4121108576237744E-3</v>
      </c>
      <c r="F8" s="351"/>
      <c r="G8" s="354" t="s">
        <v>4322</v>
      </c>
      <c r="H8" s="1">
        <f>B10</f>
        <v>258046000</v>
      </c>
      <c r="I8" t="s">
        <v>25</v>
      </c>
      <c r="J8" s="207"/>
      <c r="K8" s="207"/>
      <c r="L8" s="207"/>
      <c r="M8" s="354"/>
      <c r="N8" s="354" t="s">
        <v>25</v>
      </c>
      <c r="U8" t="s">
        <v>25</v>
      </c>
    </row>
    <row r="9" spans="1:27">
      <c r="A9" s="351"/>
      <c r="B9" s="352"/>
      <c r="C9" s="370"/>
      <c r="D9" s="351"/>
      <c r="E9" s="509"/>
      <c r="F9" s="205"/>
      <c r="G9" s="354" t="s">
        <v>6835</v>
      </c>
      <c r="H9" s="1">
        <f>B4</f>
        <v>1729368923</v>
      </c>
      <c r="J9" s="207"/>
      <c r="K9" s="207">
        <f>SUM(K2:K7)</f>
        <v>4733972</v>
      </c>
      <c r="L9" s="207"/>
      <c r="M9" s="1" t="s">
        <v>25</v>
      </c>
      <c r="N9" s="354" t="s">
        <v>25</v>
      </c>
      <c r="U9" t="s">
        <v>25</v>
      </c>
    </row>
    <row r="10" spans="1:27">
      <c r="A10" s="358" t="s">
        <v>4323</v>
      </c>
      <c r="B10" s="357">
        <v>258046000</v>
      </c>
      <c r="C10" s="374"/>
      <c r="D10" s="358"/>
      <c r="E10" s="361">
        <f>B10*100/$C$31</f>
        <v>0.92900829606923063</v>
      </c>
      <c r="F10" s="205"/>
      <c r="G10" s="354" t="s">
        <v>6836</v>
      </c>
      <c r="H10" s="1">
        <f>B1</f>
        <v>245473</v>
      </c>
      <c r="I10" t="s">
        <v>25</v>
      </c>
      <c r="J10" s="207"/>
      <c r="K10" s="207">
        <f>K9-P513</f>
        <v>0</v>
      </c>
      <c r="L10" s="275">
        <f>SUM(L2:L7)</f>
        <v>26912166536.119244</v>
      </c>
      <c r="M10" s="354" t="s">
        <v>25</v>
      </c>
      <c r="N10" s="1">
        <v>1072496175</v>
      </c>
    </row>
    <row r="11" spans="1:27" ht="18" customHeight="1">
      <c r="A11" s="358" t="s">
        <v>4306</v>
      </c>
      <c r="B11" s="357">
        <f>C11*D11</f>
        <v>845186994</v>
      </c>
      <c r="C11" s="374">
        <v>409887</v>
      </c>
      <c r="D11" s="358">
        <f>D20</f>
        <v>2062</v>
      </c>
      <c r="E11" s="361">
        <f>B11*100/$C$31</f>
        <v>3.0428130223131342</v>
      </c>
      <c r="F11" s="205"/>
      <c r="G11" s="354" t="s">
        <v>7009</v>
      </c>
      <c r="H11" s="1">
        <f>-F29</f>
        <v>0</v>
      </c>
      <c r="I11" t="s">
        <v>25</v>
      </c>
      <c r="J11" s="207"/>
      <c r="K11" s="207" t="s">
        <v>5607</v>
      </c>
      <c r="L11" s="275">
        <f>H3+H8-L5</f>
        <v>421097371.93334162</v>
      </c>
      <c r="M11" s="354">
        <f>L11/L4</f>
        <v>1.7872155383665058</v>
      </c>
      <c r="N11" s="354" t="s">
        <v>25</v>
      </c>
      <c r="P11" t="s">
        <v>25</v>
      </c>
    </row>
    <row r="12" spans="1:27">
      <c r="A12" s="358" t="s">
        <v>5594</v>
      </c>
      <c r="B12" s="357">
        <f>C12*D12</f>
        <v>513086</v>
      </c>
      <c r="C12" s="374">
        <v>3829</v>
      </c>
      <c r="D12" s="358">
        <f>D24</f>
        <v>134</v>
      </c>
      <c r="E12" s="361">
        <f>B12*100/$C$31</f>
        <v>1.8471944947682866E-3</v>
      </c>
      <c r="F12" s="205"/>
      <c r="G12" s="354" t="s">
        <v>4922</v>
      </c>
      <c r="H12" s="1">
        <v>0</v>
      </c>
      <c r="I12" t="s">
        <v>25</v>
      </c>
      <c r="J12" s="207"/>
      <c r="K12" s="207" t="s">
        <v>5606</v>
      </c>
      <c r="L12" s="275">
        <f>L4-L11</f>
        <v>-185480926.74608698</v>
      </c>
      <c r="M12" s="354">
        <f>L12/L4</f>
        <v>-0.78721553836650593</v>
      </c>
      <c r="N12" s="354"/>
      <c r="Q12" t="s">
        <v>25</v>
      </c>
      <c r="U12" t="s">
        <v>25</v>
      </c>
    </row>
    <row r="13" spans="1:27">
      <c r="A13" s="19"/>
      <c r="B13" s="37"/>
      <c r="C13" s="342"/>
      <c r="D13" s="19"/>
      <c r="E13" s="509"/>
      <c r="F13" s="205"/>
      <c r="G13" s="354" t="s">
        <v>6769</v>
      </c>
      <c r="H13" s="1">
        <f>0</f>
        <v>0</v>
      </c>
      <c r="J13" s="207"/>
      <c r="K13" s="207" t="s">
        <v>6867</v>
      </c>
      <c r="L13" s="275">
        <f>H2+H7-L2-L12</f>
        <v>1327548990.6522999</v>
      </c>
      <c r="M13" s="354">
        <f t="shared" ref="M13:M15" si="5">L13/L5</f>
        <v>1.9447030001888894</v>
      </c>
      <c r="N13" s="354" t="s">
        <v>25</v>
      </c>
      <c r="T13" s="35"/>
    </row>
    <row r="14" spans="1:27" ht="34.5" customHeight="1">
      <c r="A14" s="362" t="s">
        <v>6755</v>
      </c>
      <c r="B14" s="363">
        <v>1906487055</v>
      </c>
      <c r="C14" s="373" t="s">
        <v>857</v>
      </c>
      <c r="D14" s="362" t="s">
        <v>3843</v>
      </c>
      <c r="E14" s="361">
        <f>B14*100/$C$31</f>
        <v>6.863668843708469</v>
      </c>
      <c r="F14" s="205"/>
      <c r="G14" s="278" t="s">
        <v>7070</v>
      </c>
      <c r="H14" s="1">
        <f>-'خرید و فروش نسبتی'!P45</f>
        <v>-864334609.43889582</v>
      </c>
      <c r="J14" s="207"/>
      <c r="K14" s="207" t="s">
        <v>6866</v>
      </c>
      <c r="L14" s="275">
        <f>H4+H9-L6</f>
        <v>660449743.5625608</v>
      </c>
      <c r="M14" s="354">
        <f t="shared" si="5"/>
        <v>0.4046213698910186</v>
      </c>
      <c r="N14" s="11" t="s">
        <v>25</v>
      </c>
      <c r="T14" s="35"/>
    </row>
    <row r="15" spans="1:27">
      <c r="A15" s="362" t="s">
        <v>4188</v>
      </c>
      <c r="B15" s="363">
        <f t="shared" ref="B15:B17" si="6">C15*D15</f>
        <v>7427324000</v>
      </c>
      <c r="C15" s="373">
        <v>3602000</v>
      </c>
      <c r="D15" s="362">
        <f>D20</f>
        <v>2062</v>
      </c>
      <c r="E15" s="361">
        <f>B15*100/$C$31</f>
        <v>26.73959531864126</v>
      </c>
      <c r="F15" s="205"/>
      <c r="G15" s="354"/>
      <c r="H15" s="1"/>
      <c r="J15" s="207"/>
      <c r="K15" s="207" t="s">
        <v>6868</v>
      </c>
      <c r="L15" s="275">
        <f>H5+H10-L7</f>
        <v>67480383.92427206</v>
      </c>
      <c r="M15" s="354">
        <f t="shared" si="5"/>
        <v>0.12626562567233929</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0.79609796367517494</v>
      </c>
      <c r="F17" s="205"/>
      <c r="G17" s="354" t="s">
        <v>4324</v>
      </c>
      <c r="H17" s="1">
        <f>SUM(H1:H16)</f>
        <v>26912166536.119244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6725</v>
      </c>
      <c r="B19" s="356">
        <v>578501</v>
      </c>
      <c r="C19" s="356" t="s">
        <v>25</v>
      </c>
      <c r="D19" s="360" t="s">
        <v>25</v>
      </c>
      <c r="E19" s="361">
        <f t="shared" ref="E19:E27" si="7">B19*100/$C$31</f>
        <v>2.0826993182779269E-3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13055845804</v>
      </c>
      <c r="C20" s="375">
        <v>6331642</v>
      </c>
      <c r="D20" s="360">
        <f>'خرید و فروش نسبتی'!O32</f>
        <v>2062</v>
      </c>
      <c r="E20" s="361">
        <f t="shared" si="7"/>
        <v>47.003205103418203</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3.0016588827524732E-5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0.20219263652283692</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6905</v>
      </c>
      <c r="B23" s="356">
        <f t="shared" si="9"/>
        <v>599940000</v>
      </c>
      <c r="C23" s="375">
        <v>297000</v>
      </c>
      <c r="D23" s="360">
        <f>'خرید و فروش نسبتی'!O29</f>
        <v>2020</v>
      </c>
      <c r="E23" s="361">
        <f t="shared" si="7"/>
        <v>2.1598832655564286</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2.4121108576237744E-2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6904</v>
      </c>
      <c r="B25" s="356">
        <f t="shared" si="9"/>
        <v>503283000</v>
      </c>
      <c r="C25" s="375">
        <v>1661000</v>
      </c>
      <c r="D25" s="360">
        <f>'خرید و فروش نسبتی'!O30</f>
        <v>303</v>
      </c>
      <c r="E25" s="361">
        <f t="shared" si="7"/>
        <v>1.8119020727723374</v>
      </c>
      <c r="F25" s="473"/>
      <c r="G25" s="2" t="s">
        <v>4328</v>
      </c>
      <c r="H25" s="37">
        <f>-L13</f>
        <v>-1327548990.6522999</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7010</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27776501145.55814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7071</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6860</v>
      </c>
      <c r="C33" s="370">
        <f>C31/D27</f>
        <v>557346.97404655453</v>
      </c>
      <c r="D33" s="370">
        <f>C31/D22</f>
        <v>63128411.694450319</v>
      </c>
      <c r="E33" s="370">
        <f>C31/D20</f>
        <v>13470660.10938804</v>
      </c>
      <c r="F33" s="370">
        <f>C31/D21</f>
        <v>33314911.489310075</v>
      </c>
      <c r="G33" s="352" t="s">
        <v>6799</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6861</v>
      </c>
      <c r="C34" s="370">
        <v>0</v>
      </c>
      <c r="D34" s="370">
        <f>C22+C17+C12</f>
        <v>634034</v>
      </c>
      <c r="E34" s="370">
        <f>C2+C5+C15+C20+C11</f>
        <v>10855317</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6862</v>
      </c>
      <c r="C35" s="471"/>
      <c r="D35" s="471">
        <f>D34/D33</f>
        <v>1.0043560149569525E-2</v>
      </c>
      <c r="E35" s="471">
        <f>E34/E33</f>
        <v>0.80584892736137392</v>
      </c>
      <c r="F35" s="471">
        <f>F34/F33</f>
        <v>3.0016588827524731E-7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5681557052.5005283</v>
      </c>
      <c r="E36" s="370">
        <f>E33*E31</f>
        <v>4512671136.6449938</v>
      </c>
      <c r="F36" s="370">
        <f>F33*F31</f>
        <v>2665192919.1448059</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6863</v>
      </c>
      <c r="C37" s="351"/>
      <c r="D37" s="370">
        <f>D34*80</f>
        <v>50722720</v>
      </c>
      <c r="E37" s="370">
        <f>E34*E31</f>
        <v>3636531195</v>
      </c>
      <c r="F37" s="370">
        <f>F34*F31</f>
        <v>800</v>
      </c>
      <c r="G37" s="2" t="s">
        <v>6770</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22383663654</v>
      </c>
      <c r="F38" s="370">
        <f>F34*D21</f>
        <v>8337.5581395348836</v>
      </c>
      <c r="G38" s="309" t="s">
        <v>6735</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7021</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6902</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6893</v>
      </c>
      <c r="C42" s="370">
        <v>480767</v>
      </c>
      <c r="D42" s="370">
        <v>37036830</v>
      </c>
      <c r="E42" s="370">
        <v>9912712</v>
      </c>
      <c r="F42" s="370">
        <v>33829310</v>
      </c>
      <c r="G42" s="2" t="s">
        <v>6894</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6892</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6887</v>
      </c>
      <c r="B44" s="351" t="s">
        <v>6886</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6881</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6873</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6869</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6783</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6865</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6864</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6859</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6858</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6855</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6849</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6848</v>
      </c>
      <c r="C55" s="370">
        <v>354811</v>
      </c>
      <c r="D55" s="370">
        <v>38043191</v>
      </c>
      <c r="E55" s="370">
        <v>9312125</v>
      </c>
      <c r="F55" s="370">
        <v>31783799</v>
      </c>
      <c r="G55" s="143" t="s">
        <v>4134</v>
      </c>
      <c r="H55" s="137">
        <v>790</v>
      </c>
      <c r="I55" s="144">
        <f>H55*$I$63</f>
        <v>21922500000</v>
      </c>
      <c r="J55" s="144">
        <f>B15+B11+B20</f>
        <v>21328356798</v>
      </c>
      <c r="K55" s="470">
        <f>I55-J55</f>
        <v>594143202</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6847</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6846</v>
      </c>
      <c r="C57" s="370">
        <v>348088</v>
      </c>
      <c r="D57" s="370">
        <v>38494462</v>
      </c>
      <c r="E57" s="370">
        <v>9370072</v>
      </c>
      <c r="F57" s="370">
        <v>31341277</v>
      </c>
      <c r="G57" s="143" t="s">
        <v>6643</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6845</v>
      </c>
      <c r="C58" s="370">
        <v>358198</v>
      </c>
      <c r="D58" s="370">
        <v>38952936</v>
      </c>
      <c r="E58" s="370">
        <v>9314354</v>
      </c>
      <c r="F58" s="370">
        <v>31625896</v>
      </c>
      <c r="G58" s="189" t="s">
        <v>5160</v>
      </c>
      <c r="H58" s="132">
        <v>0</v>
      </c>
      <c r="I58" s="190">
        <f>H58*$I$63</f>
        <v>0</v>
      </c>
      <c r="J58" s="190">
        <f>B14+B10+B19</f>
        <v>2165111556</v>
      </c>
      <c r="K58" s="157">
        <f>I58-J58</f>
        <v>-2165111556</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6843</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6842</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6841</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6840</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6839</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6838</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6816</v>
      </c>
      <c r="C65" s="370">
        <v>39875</v>
      </c>
      <c r="D65" s="370">
        <v>34422304</v>
      </c>
      <c r="E65" s="370">
        <v>8910803</v>
      </c>
      <c r="F65" s="370">
        <v>30058048</v>
      </c>
      <c r="G65" s="278" t="s">
        <v>4489</v>
      </c>
      <c r="H65" s="28"/>
      <c r="I65" s="1"/>
      <c r="J65" s="1"/>
      <c r="K65" s="59"/>
      <c r="L65" s="367" t="s">
        <v>6621</v>
      </c>
      <c r="M65" s="367" t="s">
        <v>6618</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6831</v>
      </c>
      <c r="C66" s="370">
        <v>384553</v>
      </c>
      <c r="D66" s="370">
        <v>34531289</v>
      </c>
      <c r="E66" s="315">
        <v>9053147</v>
      </c>
      <c r="F66" s="315">
        <v>30377615</v>
      </c>
      <c r="J66" s="466" t="s">
        <v>25</v>
      </c>
      <c r="K66" s="35"/>
      <c r="L66" s="189" t="s">
        <v>6653</v>
      </c>
      <c r="M66" s="189" t="s">
        <v>6651</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6828</v>
      </c>
      <c r="C67" s="370">
        <v>366536</v>
      </c>
      <c r="D67" s="370">
        <v>33252790</v>
      </c>
      <c r="E67" s="315">
        <v>8745989</v>
      </c>
      <c r="F67" s="315">
        <v>28294041</v>
      </c>
      <c r="J67" s="350"/>
      <c r="K67" s="35"/>
      <c r="L67" s="367" t="s">
        <v>6676</v>
      </c>
      <c r="M67" s="367" t="s">
        <v>6671</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6827</v>
      </c>
      <c r="C68" s="370">
        <v>396633</v>
      </c>
      <c r="D68" s="370">
        <v>32816664</v>
      </c>
      <c r="E68" s="315">
        <v>8802341</v>
      </c>
      <c r="F68" s="315">
        <v>28864919</v>
      </c>
      <c r="G68" s="2" t="s">
        <v>180</v>
      </c>
      <c r="H68" s="351" t="s">
        <v>5310</v>
      </c>
      <c r="J68" s="384"/>
      <c r="K68" s="336"/>
      <c r="L68" s="189"/>
      <c r="M68" s="189" t="s">
        <v>6683</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6825</v>
      </c>
      <c r="C69" s="370">
        <v>386891</v>
      </c>
      <c r="D69" s="370">
        <v>32494148</v>
      </c>
      <c r="E69" s="315">
        <v>8599864</v>
      </c>
      <c r="F69" s="315">
        <v>28205148</v>
      </c>
      <c r="G69" s="2" t="s">
        <v>5291</v>
      </c>
      <c r="H69" s="1">
        <v>30000000</v>
      </c>
      <c r="L69" s="189"/>
      <c r="M69" s="189" t="s">
        <v>6687</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6823</v>
      </c>
      <c r="C70" s="370">
        <v>392690</v>
      </c>
      <c r="D70" s="370">
        <v>32460265</v>
      </c>
      <c r="E70" s="315">
        <v>8518673</v>
      </c>
      <c r="F70" s="315">
        <v>27903452</v>
      </c>
      <c r="G70" s="2" t="s">
        <v>5292</v>
      </c>
      <c r="H70" s="1">
        <v>550000</v>
      </c>
      <c r="L70" s="189"/>
      <c r="M70" s="189" t="s">
        <v>6691</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6819</v>
      </c>
      <c r="C71" s="370">
        <v>391976</v>
      </c>
      <c r="D71" s="370">
        <v>32532410</v>
      </c>
      <c r="E71" s="315">
        <v>8485222</v>
      </c>
      <c r="F71" s="315">
        <v>28545312</v>
      </c>
      <c r="G71" s="2" t="s">
        <v>5293</v>
      </c>
      <c r="H71" s="1">
        <v>70370000</v>
      </c>
      <c r="L71" s="189" t="s">
        <v>6701</v>
      </c>
      <c r="M71" s="189" t="s">
        <v>6699</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6817</v>
      </c>
      <c r="C72" s="370">
        <v>390291</v>
      </c>
      <c r="D72" s="370">
        <v>32656971</v>
      </c>
      <c r="E72" s="315">
        <v>8377966</v>
      </c>
      <c r="F72" s="315">
        <v>28172387</v>
      </c>
      <c r="G72" s="2" t="s">
        <v>5294</v>
      </c>
      <c r="H72" s="1">
        <v>1215000</v>
      </c>
      <c r="L72" s="189" t="s">
        <v>6871</v>
      </c>
      <c r="M72" s="189" t="s">
        <v>6872</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6814</v>
      </c>
      <c r="C73" s="315">
        <v>387463</v>
      </c>
      <c r="D73" s="315">
        <v>32972110</v>
      </c>
      <c r="E73" s="315">
        <v>8449980</v>
      </c>
      <c r="F73" s="315">
        <v>29202137</v>
      </c>
      <c r="G73" s="2" t="s">
        <v>5295</v>
      </c>
      <c r="H73" s="1">
        <v>15350000</v>
      </c>
      <c r="L73" s="189" t="s">
        <v>6912</v>
      </c>
      <c r="M73" s="189" t="s">
        <v>6910</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6813</v>
      </c>
      <c r="C74" s="315">
        <v>385714</v>
      </c>
      <c r="D74" s="315">
        <v>33047195</v>
      </c>
      <c r="E74" s="315">
        <v>8471480</v>
      </c>
      <c r="F74" s="315">
        <v>29308460</v>
      </c>
      <c r="G74" s="2" t="s">
        <v>5296</v>
      </c>
      <c r="H74" s="1">
        <v>70000</v>
      </c>
      <c r="L74" s="367" t="s">
        <v>6917</v>
      </c>
      <c r="M74" s="367" t="s">
        <v>6915</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6812</v>
      </c>
      <c r="C75" s="315">
        <v>380489</v>
      </c>
      <c r="D75" s="315">
        <v>33139342</v>
      </c>
      <c r="E75" s="315">
        <v>8329618</v>
      </c>
      <c r="F75" s="315">
        <v>28696078</v>
      </c>
      <c r="G75" s="2" t="s">
        <v>5300</v>
      </c>
      <c r="H75" s="1">
        <v>800000</v>
      </c>
      <c r="L75" s="189" t="s">
        <v>4615</v>
      </c>
      <c r="M75" s="189" t="s">
        <v>6995</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6810</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6803</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6802</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6801</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6800</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6798</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6796</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6795</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6793</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6785</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6784</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6782</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6780</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6778</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6777</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6775</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6774</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6773</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6772</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6765</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6764</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6758</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6757</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6756</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6746</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6742</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6723</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6722</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6718</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6716</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6698</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6697</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6692</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6683</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10855317</v>
      </c>
      <c r="C120" s="477">
        <f>B120*D20</f>
        <v>22383663654</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6904</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6905</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6903</v>
      </c>
      <c r="B127" s="493">
        <f>B1+B4+B14+B10+B19</f>
        <v>3894725952</v>
      </c>
      <c r="C127" s="493">
        <f>B127</f>
        <v>3894725952</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6651</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6659</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6664</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6665</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6666</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6667</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6669</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6671</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6671</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6675</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6699</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6613</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6613</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6615</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6616</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6618</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6622</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6634</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6635</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6636</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6638</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6639</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6640</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6651</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6671</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6677</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6679</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6680</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6681</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6683</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6685</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6686</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6691</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6692</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6695</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6704</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6714</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6717</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6724</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6726</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6727</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6736</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6737</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6738</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6719</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6781</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6783</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6796</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6798</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6800</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6802</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6803</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6808</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6811</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6813</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6817</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6818</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6819</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6823</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6823</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6825</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6827</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6831</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6816</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6838</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6607</v>
      </c>
      <c r="AL269" s="3">
        <v>200000000</v>
      </c>
      <c r="AM269" s="11">
        <v>7</v>
      </c>
      <c r="AN269" s="20">
        <f t="shared" si="32"/>
        <v>155</v>
      </c>
      <c r="AO269" s="37">
        <f t="shared" si="33"/>
        <v>31000000000</v>
      </c>
      <c r="AP269" s="188" t="s">
        <v>6608</v>
      </c>
    </row>
    <row r="270" spans="7:47">
      <c r="G270" s="2" t="s">
        <v>6840</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6611</v>
      </c>
      <c r="AL270" s="3">
        <v>50000</v>
      </c>
      <c r="AM270" s="11">
        <v>83</v>
      </c>
      <c r="AN270" s="20">
        <f t="shared" si="32"/>
        <v>148</v>
      </c>
      <c r="AO270" s="37">
        <f t="shared" si="33"/>
        <v>7400000</v>
      </c>
      <c r="AP270" s="20" t="s">
        <v>6029</v>
      </c>
    </row>
    <row r="271" spans="7:47">
      <c r="G271" s="2" t="s">
        <v>6843</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6651</v>
      </c>
      <c r="AL271" s="3">
        <v>20000000</v>
      </c>
      <c r="AM271" s="11">
        <v>0</v>
      </c>
      <c r="AN271" s="20">
        <f t="shared" si="32"/>
        <v>65</v>
      </c>
      <c r="AO271" s="37">
        <f t="shared" si="33"/>
        <v>1300000000</v>
      </c>
      <c r="AP271" s="20" t="s">
        <v>6657</v>
      </c>
      <c r="AT271" t="s">
        <v>25</v>
      </c>
    </row>
    <row r="272" spans="7:47">
      <c r="G272" s="2" t="s">
        <v>6844</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6656</v>
      </c>
      <c r="AL272" s="3">
        <v>-562402000</v>
      </c>
      <c r="AM272" s="11">
        <v>1</v>
      </c>
      <c r="AN272" s="20">
        <f t="shared" si="32"/>
        <v>65</v>
      </c>
      <c r="AO272" s="37">
        <f t="shared" si="33"/>
        <v>-36556130000</v>
      </c>
      <c r="AP272" s="20" t="s">
        <v>6658</v>
      </c>
    </row>
    <row r="273" spans="7:48">
      <c r="G273" s="2" t="s">
        <v>6845</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6659</v>
      </c>
      <c r="AL273" s="3">
        <v>30000000</v>
      </c>
      <c r="AM273" s="11">
        <v>1</v>
      </c>
      <c r="AN273" s="20">
        <f t="shared" si="32"/>
        <v>64</v>
      </c>
      <c r="AO273" s="37">
        <f t="shared" si="33"/>
        <v>1920000000</v>
      </c>
      <c r="AP273" s="20" t="s">
        <v>6663</v>
      </c>
    </row>
    <row r="274" spans="7:48">
      <c r="G274" s="2" t="s">
        <v>6846</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6665</v>
      </c>
      <c r="AL274" s="3">
        <v>50000000</v>
      </c>
      <c r="AM274" s="11">
        <v>59</v>
      </c>
      <c r="AN274" s="20">
        <f t="shared" si="32"/>
        <v>63</v>
      </c>
      <c r="AO274" s="37">
        <f t="shared" si="33"/>
        <v>3150000000</v>
      </c>
      <c r="AP274" s="20" t="s">
        <v>6663</v>
      </c>
      <c r="AR274" t="s">
        <v>25</v>
      </c>
    </row>
    <row r="275" spans="7:48" ht="23.25" customHeight="1">
      <c r="G275" s="2" t="s">
        <v>6847</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6699</v>
      </c>
      <c r="AL275" s="3">
        <v>-364449030</v>
      </c>
      <c r="AM275" s="11">
        <v>2</v>
      </c>
      <c r="AN275" s="20">
        <f t="shared" ref="AN275:AN280" si="35">AN276+AM275</f>
        <v>4</v>
      </c>
      <c r="AO275" s="37">
        <f t="shared" ref="AO275:AO280" si="36">AL275*AN275</f>
        <v>-1457796120</v>
      </c>
      <c r="AP275" s="20" t="s">
        <v>6701</v>
      </c>
      <c r="AR275" t="s">
        <v>25</v>
      </c>
    </row>
    <row r="276" spans="7:48">
      <c r="G276" s="2" t="s">
        <v>6849</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6707</v>
      </c>
      <c r="AL276" s="3">
        <v>25000000</v>
      </c>
      <c r="AM276" s="11">
        <v>1</v>
      </c>
      <c r="AN276" s="20">
        <f t="shared" si="35"/>
        <v>2</v>
      </c>
      <c r="AO276" s="37">
        <f t="shared" si="36"/>
        <v>50000000</v>
      </c>
      <c r="AP276" s="20" t="s">
        <v>6708</v>
      </c>
    </row>
    <row r="277" spans="7:48">
      <c r="G277" s="351" t="s">
        <v>6854</v>
      </c>
      <c r="H277" s="352">
        <v>2648717.3756280001</v>
      </c>
      <c r="M277" s="354" t="s">
        <v>5392</v>
      </c>
      <c r="N277" s="1">
        <v>920308.446</v>
      </c>
      <c r="O277" s="367" t="s">
        <v>5512</v>
      </c>
      <c r="P277" s="367">
        <v>35</v>
      </c>
      <c r="Q277" s="18">
        <v>2315</v>
      </c>
      <c r="R277" s="18">
        <f t="shared" si="34"/>
        <v>81025</v>
      </c>
      <c r="S277" s="392" t="s">
        <v>5514</v>
      </c>
      <c r="AJ277" s="11">
        <v>256</v>
      </c>
      <c r="AK277" s="3" t="s">
        <v>6713</v>
      </c>
      <c r="AL277" s="3">
        <v>58000000</v>
      </c>
      <c r="AM277" s="11">
        <v>1</v>
      </c>
      <c r="AN277" s="20">
        <f t="shared" si="35"/>
        <v>1</v>
      </c>
      <c r="AO277" s="37">
        <f t="shared" si="36"/>
        <v>58000000</v>
      </c>
      <c r="AP277" s="20" t="s">
        <v>6708</v>
      </c>
    </row>
    <row r="278" spans="7:48" ht="15" customHeight="1">
      <c r="G278" s="351" t="s">
        <v>6856</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6857</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6865</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6869</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6873</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6880</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6881</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6886</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6889</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6890</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6891</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14222517682.55814</v>
      </c>
      <c r="AO288" t="s">
        <v>25</v>
      </c>
    </row>
    <row r="289" spans="7:47">
      <c r="G289" s="351" t="s">
        <v>6892</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14344606541.496576</v>
      </c>
      <c r="AO289" t="s">
        <v>25</v>
      </c>
      <c r="AU289" t="s">
        <v>25</v>
      </c>
    </row>
    <row r="290" spans="7:47">
      <c r="G290" s="351" t="s">
        <v>6893</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6900</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14040348102.3978</v>
      </c>
      <c r="AP291" t="s">
        <v>25</v>
      </c>
    </row>
    <row r="292" spans="7:47">
      <c r="G292" s="351" t="s">
        <v>6902</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6909</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6607</v>
      </c>
      <c r="P380" s="367">
        <v>86686</v>
      </c>
      <c r="Q380" s="18">
        <v>2307.1718759999999</v>
      </c>
      <c r="R380" s="18">
        <f t="shared" si="34"/>
        <v>199999501.24293599</v>
      </c>
      <c r="S380" s="367" t="s">
        <v>6610</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6613</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6613</v>
      </c>
      <c r="P382" s="367">
        <v>8426</v>
      </c>
      <c r="Q382" s="18">
        <v>2411.414808</v>
      </c>
      <c r="R382" s="18">
        <f t="shared" si="34"/>
        <v>20318581.172208</v>
      </c>
      <c r="S382" s="367" t="s">
        <v>6614</v>
      </c>
      <c r="AJ382" s="20">
        <v>84</v>
      </c>
      <c r="AK382" s="20" t="s">
        <v>4857</v>
      </c>
      <c r="AL382" s="37">
        <v>40000</v>
      </c>
      <c r="AM382" s="20">
        <v>5</v>
      </c>
      <c r="AN382" s="20">
        <f t="shared" si="47"/>
        <v>617</v>
      </c>
      <c r="AO382" s="20">
        <f t="shared" si="48"/>
        <v>24680000</v>
      </c>
      <c r="AP382" s="20"/>
    </row>
    <row r="383" spans="13:47">
      <c r="M383" s="354" t="s">
        <v>6156</v>
      </c>
      <c r="N383" s="1">
        <v>10000000</v>
      </c>
      <c r="O383" s="367" t="s">
        <v>6615</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6616</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6618</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6618</v>
      </c>
      <c r="P386" s="367">
        <v>2429</v>
      </c>
      <c r="Q386" s="18">
        <v>2522.243884</v>
      </c>
      <c r="R386" s="18">
        <f t="shared" si="34"/>
        <v>6126530.3942360003</v>
      </c>
      <c r="S386" s="392" t="s">
        <v>6619</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6618</v>
      </c>
      <c r="P387" s="367">
        <v>-2429</v>
      </c>
      <c r="Q387" s="18">
        <v>2522.243884</v>
      </c>
      <c r="R387" s="18">
        <f t="shared" si="34"/>
        <v>-6126530.3942360003</v>
      </c>
      <c r="S387" s="367" t="s">
        <v>6620</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6622</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6634</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6635</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6636</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6638</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6639</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6640</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6651</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6651</v>
      </c>
      <c r="P396" s="189">
        <v>-6894</v>
      </c>
      <c r="Q396" s="190">
        <v>2901.357</v>
      </c>
      <c r="R396" s="190">
        <f t="shared" si="34"/>
        <v>-20001955.158</v>
      </c>
      <c r="S396" s="189" t="s">
        <v>6652</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6651</v>
      </c>
      <c r="P397" s="367">
        <v>6894</v>
      </c>
      <c r="Q397" s="18">
        <v>2901.357</v>
      </c>
      <c r="R397" s="18">
        <f t="shared" si="34"/>
        <v>20001955.158</v>
      </c>
      <c r="S397" s="367" t="s">
        <v>6654</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6651</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6651</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6651</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6651</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6659</v>
      </c>
      <c r="P402" s="367">
        <v>17233</v>
      </c>
      <c r="Q402" s="18">
        <v>2901.357</v>
      </c>
      <c r="R402" s="18">
        <f t="shared" si="34"/>
        <v>49999085.181000002</v>
      </c>
      <c r="S402" s="367" t="s">
        <v>6660</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6659</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6664</v>
      </c>
      <c r="P404" s="367">
        <v>17234</v>
      </c>
      <c r="Q404" s="18">
        <v>2901.357</v>
      </c>
      <c r="R404" s="18">
        <f t="shared" si="34"/>
        <v>50001986.538000003</v>
      </c>
      <c r="S404" s="367" t="s">
        <v>6660</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6665</v>
      </c>
      <c r="P405" s="367">
        <v>17234</v>
      </c>
      <c r="Q405" s="18">
        <v>2901.357</v>
      </c>
      <c r="R405" s="18">
        <f t="shared" si="34"/>
        <v>50001986.538000003</v>
      </c>
      <c r="S405" s="367" t="s">
        <v>6660</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6665</v>
      </c>
      <c r="P406" s="367">
        <v>17234</v>
      </c>
      <c r="Q406" s="18">
        <v>2901.357</v>
      </c>
      <c r="R406" s="18">
        <f t="shared" si="34"/>
        <v>50001986.538000003</v>
      </c>
      <c r="S406" s="367" t="s">
        <v>6670</v>
      </c>
      <c r="AJ406" s="20">
        <v>108</v>
      </c>
      <c r="AK406" s="20" t="s">
        <v>4993</v>
      </c>
      <c r="AL406" s="37">
        <v>-880000</v>
      </c>
      <c r="AM406" s="20">
        <v>4</v>
      </c>
      <c r="AN406" s="20">
        <f t="shared" si="49"/>
        <v>546</v>
      </c>
      <c r="AO406" s="20">
        <f t="shared" si="50"/>
        <v>-480480000</v>
      </c>
      <c r="AP406" s="20"/>
    </row>
    <row r="407" spans="13:47">
      <c r="M407" s="354" t="s">
        <v>6607</v>
      </c>
      <c r="N407" s="1">
        <v>200000000</v>
      </c>
      <c r="O407" s="367" t="s">
        <v>6666</v>
      </c>
      <c r="P407" s="367">
        <v>17233</v>
      </c>
      <c r="Q407" s="18">
        <v>2901.357</v>
      </c>
      <c r="R407" s="18">
        <f t="shared" si="34"/>
        <v>49999085.181000002</v>
      </c>
      <c r="S407" s="367" t="s">
        <v>6660</v>
      </c>
      <c r="AJ407" s="135">
        <v>109</v>
      </c>
      <c r="AK407" s="135" t="s">
        <v>4997</v>
      </c>
      <c r="AL407" s="136">
        <v>873000</v>
      </c>
      <c r="AM407" s="135">
        <v>0</v>
      </c>
      <c r="AN407" s="135">
        <f t="shared" si="49"/>
        <v>542</v>
      </c>
      <c r="AO407" s="135">
        <f t="shared" si="50"/>
        <v>473166000</v>
      </c>
      <c r="AP407" s="135" t="s">
        <v>4943</v>
      </c>
    </row>
    <row r="408" spans="13:47">
      <c r="M408" s="354" t="s">
        <v>6613</v>
      </c>
      <c r="N408" s="1">
        <v>195324.59944799999</v>
      </c>
      <c r="O408" s="367" t="s">
        <v>6667</v>
      </c>
      <c r="P408" s="367">
        <v>34467</v>
      </c>
      <c r="Q408" s="18">
        <v>2901.357</v>
      </c>
      <c r="R408" s="18">
        <f t="shared" si="34"/>
        <v>100001071.719</v>
      </c>
      <c r="S408" s="367" t="s">
        <v>6660</v>
      </c>
      <c r="AJ408" s="20">
        <v>110</v>
      </c>
      <c r="AK408" s="20" t="s">
        <v>4997</v>
      </c>
      <c r="AL408" s="37">
        <v>127000</v>
      </c>
      <c r="AM408" s="20">
        <v>0</v>
      </c>
      <c r="AN408" s="20">
        <f t="shared" si="49"/>
        <v>542</v>
      </c>
      <c r="AO408" s="20">
        <f t="shared" si="50"/>
        <v>68834000</v>
      </c>
      <c r="AP408" s="20" t="s">
        <v>4943</v>
      </c>
    </row>
    <row r="409" spans="13:47">
      <c r="M409" s="354" t="s">
        <v>6613</v>
      </c>
      <c r="N409" s="1">
        <v>20318581.172208</v>
      </c>
      <c r="O409" s="367" t="s">
        <v>6669</v>
      </c>
      <c r="P409" s="367">
        <v>17233</v>
      </c>
      <c r="Q409" s="18">
        <v>2901.357</v>
      </c>
      <c r="R409" s="18">
        <f t="shared" si="34"/>
        <v>49999085.181000002</v>
      </c>
      <c r="S409" s="367" t="s">
        <v>6660</v>
      </c>
      <c r="AJ409" s="20">
        <v>111</v>
      </c>
      <c r="AK409" s="20" t="s">
        <v>4997</v>
      </c>
      <c r="AL409" s="37">
        <v>73000</v>
      </c>
      <c r="AM409" s="20">
        <v>1</v>
      </c>
      <c r="AN409" s="20">
        <f t="shared" si="49"/>
        <v>542</v>
      </c>
      <c r="AO409" s="20">
        <f t="shared" si="50"/>
        <v>39566000</v>
      </c>
      <c r="AP409" s="20"/>
    </row>
    <row r="410" spans="13:47">
      <c r="M410" s="354" t="s">
        <v>6615</v>
      </c>
      <c r="N410" s="1">
        <v>2893976.613864</v>
      </c>
      <c r="O410" s="367" t="s">
        <v>6671</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6616</v>
      </c>
      <c r="N411" s="1">
        <v>348175.86130300001</v>
      </c>
      <c r="O411" s="367" t="s">
        <v>6671</v>
      </c>
      <c r="P411" s="367">
        <v>-3980</v>
      </c>
      <c r="Q411" s="18">
        <v>2838.81</v>
      </c>
      <c r="R411" s="18">
        <f t="shared" si="34"/>
        <v>-11298463.799999999</v>
      </c>
      <c r="S411" s="367" t="s">
        <v>6672</v>
      </c>
      <c r="AB411" t="s">
        <v>25</v>
      </c>
      <c r="AJ411" s="20">
        <v>113</v>
      </c>
      <c r="AK411" s="20" t="s">
        <v>4874</v>
      </c>
      <c r="AL411" s="37">
        <v>1600000</v>
      </c>
      <c r="AM411" s="20">
        <v>0</v>
      </c>
      <c r="AN411" s="20">
        <f t="shared" si="49"/>
        <v>540</v>
      </c>
      <c r="AO411" s="20">
        <f t="shared" si="50"/>
        <v>864000000</v>
      </c>
      <c r="AP411" s="20"/>
    </row>
    <row r="412" spans="13:47">
      <c r="M412" s="354" t="s">
        <v>6618</v>
      </c>
      <c r="N412" s="1">
        <v>315280.48550000001</v>
      </c>
      <c r="O412" s="367" t="s">
        <v>6671</v>
      </c>
      <c r="P412" s="367">
        <v>3980</v>
      </c>
      <c r="Q412" s="18">
        <v>2838.81</v>
      </c>
      <c r="R412" s="18">
        <f t="shared" si="34"/>
        <v>11298463.799999999</v>
      </c>
      <c r="S412" s="367" t="s">
        <v>6673</v>
      </c>
      <c r="AB412" t="s">
        <v>25</v>
      </c>
      <c r="AJ412" s="20">
        <v>114</v>
      </c>
      <c r="AK412" s="20" t="s">
        <v>4171</v>
      </c>
      <c r="AL412" s="37">
        <v>-10000000</v>
      </c>
      <c r="AM412" s="20">
        <v>1</v>
      </c>
      <c r="AN412" s="20">
        <f t="shared" si="49"/>
        <v>540</v>
      </c>
      <c r="AO412" s="20">
        <f t="shared" si="50"/>
        <v>-5400000000</v>
      </c>
      <c r="AP412" s="20" t="s">
        <v>5003</v>
      </c>
    </row>
    <row r="413" spans="13:47">
      <c r="M413" s="354" t="s">
        <v>6618</v>
      </c>
      <c r="N413" s="1">
        <v>6128000</v>
      </c>
      <c r="O413" s="367" t="s">
        <v>6671</v>
      </c>
      <c r="P413" s="367">
        <v>23077</v>
      </c>
      <c r="Q413" s="18">
        <v>2838.81</v>
      </c>
      <c r="R413" s="18">
        <f t="shared" ref="R413:R433" si="51">P413*Q413</f>
        <v>65511218.369999997</v>
      </c>
      <c r="S413" s="367" t="s">
        <v>6674</v>
      </c>
      <c r="AJ413" s="20">
        <v>115</v>
      </c>
      <c r="AK413" s="20" t="s">
        <v>5002</v>
      </c>
      <c r="AL413" s="37">
        <v>571000</v>
      </c>
      <c r="AM413" s="20">
        <v>4</v>
      </c>
      <c r="AN413" s="20">
        <f t="shared" si="49"/>
        <v>539</v>
      </c>
      <c r="AO413" s="20">
        <f t="shared" si="50"/>
        <v>307769000</v>
      </c>
      <c r="AP413" s="20"/>
      <c r="AT413" t="s">
        <v>25</v>
      </c>
    </row>
    <row r="414" spans="13:47">
      <c r="M414" s="354" t="s">
        <v>6622</v>
      </c>
      <c r="N414" s="1">
        <v>184045.65498799999</v>
      </c>
      <c r="O414" s="367" t="s">
        <v>6675</v>
      </c>
      <c r="P414" s="367">
        <v>8806</v>
      </c>
      <c r="Q414" s="18">
        <v>2838.81</v>
      </c>
      <c r="R414" s="18">
        <f t="shared" si="51"/>
        <v>24998560.859999999</v>
      </c>
      <c r="S414" s="367" t="s">
        <v>6674</v>
      </c>
      <c r="AJ414" s="20">
        <v>116</v>
      </c>
      <c r="AK414" s="20" t="s">
        <v>5004</v>
      </c>
      <c r="AL414" s="37">
        <v>200000</v>
      </c>
      <c r="AM414" s="20">
        <v>3</v>
      </c>
      <c r="AN414" s="20">
        <f t="shared" ref="AN414:AN425" si="52">AM414+AN415</f>
        <v>535</v>
      </c>
      <c r="AO414" s="20">
        <f t="shared" ref="AO414:AO425" si="53">AL414*AN414</f>
        <v>107000000</v>
      </c>
      <c r="AP414" s="20"/>
    </row>
    <row r="415" spans="13:47">
      <c r="M415" s="354" t="s">
        <v>6634</v>
      </c>
      <c r="N415" s="1">
        <v>3224064.2855249997</v>
      </c>
      <c r="O415" s="367" t="s">
        <v>6677</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6635</v>
      </c>
      <c r="N416" s="1">
        <v>145302.32212200001</v>
      </c>
      <c r="O416" s="367" t="s">
        <v>6677</v>
      </c>
      <c r="P416" s="367">
        <v>4729</v>
      </c>
      <c r="Q416" s="18">
        <v>2881.3336610000001</v>
      </c>
      <c r="R416" s="18">
        <f t="shared" si="51"/>
        <v>13625826.882869001</v>
      </c>
      <c r="S416" s="367" t="s">
        <v>6678</v>
      </c>
      <c r="AJ416" s="20">
        <v>118</v>
      </c>
      <c r="AK416" s="20" t="s">
        <v>5018</v>
      </c>
      <c r="AL416" s="37">
        <v>-500000</v>
      </c>
      <c r="AM416" s="20">
        <v>12</v>
      </c>
      <c r="AN416" s="20">
        <f t="shared" si="52"/>
        <v>525</v>
      </c>
      <c r="AO416" s="20">
        <f t="shared" si="53"/>
        <v>-262500000</v>
      </c>
      <c r="AP416" s="20"/>
    </row>
    <row r="417" spans="13:47">
      <c r="M417" s="354" t="s">
        <v>6636</v>
      </c>
      <c r="N417" s="1">
        <v>7184125.4612399992</v>
      </c>
      <c r="O417" s="367" t="s">
        <v>6679</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6638</v>
      </c>
      <c r="N418" s="1">
        <v>8260484.4756000005</v>
      </c>
      <c r="O418" s="367" t="s">
        <v>6680</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6639</v>
      </c>
      <c r="N419" s="1">
        <v>2791202.6544840001</v>
      </c>
      <c r="O419" s="367" t="s">
        <v>6681</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6640</v>
      </c>
      <c r="N420" s="1">
        <v>248142.0681</v>
      </c>
      <c r="O420" s="189" t="s">
        <v>6683</v>
      </c>
      <c r="P420" s="189">
        <v>-5039</v>
      </c>
      <c r="Q420" s="190">
        <v>3008.7638149999998</v>
      </c>
      <c r="R420" s="190">
        <f t="shared" si="51"/>
        <v>-15161160.863784999</v>
      </c>
      <c r="S420" s="189" t="s">
        <v>6684</v>
      </c>
      <c r="AA420" t="s">
        <v>25</v>
      </c>
      <c r="AJ420" s="20">
        <v>122</v>
      </c>
      <c r="AK420" s="20" t="s">
        <v>5070</v>
      </c>
      <c r="AL420" s="37">
        <v>18000000</v>
      </c>
      <c r="AM420" s="20">
        <v>19</v>
      </c>
      <c r="AN420" s="20">
        <f t="shared" si="52"/>
        <v>467</v>
      </c>
      <c r="AO420" s="20">
        <f t="shared" si="53"/>
        <v>8406000000</v>
      </c>
      <c r="AP420" s="20"/>
      <c r="AT420" t="s">
        <v>25</v>
      </c>
    </row>
    <row r="421" spans="13:47">
      <c r="M421" s="354" t="s">
        <v>6651</v>
      </c>
      <c r="N421" s="1">
        <v>20001955</v>
      </c>
      <c r="O421" s="367" t="s">
        <v>6683</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6651</v>
      </c>
      <c r="N422" s="1">
        <v>-562401942</v>
      </c>
      <c r="O422" s="367" t="s">
        <v>6685</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6651</v>
      </c>
      <c r="N423" s="1">
        <v>499033.40399999998</v>
      </c>
      <c r="O423" s="367" t="s">
        <v>6686</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6651</v>
      </c>
      <c r="N424" s="1">
        <v>3374278.1910000001</v>
      </c>
      <c r="O424" s="189" t="s">
        <v>6687</v>
      </c>
      <c r="P424" s="189">
        <v>-3365</v>
      </c>
      <c r="Q424" s="190">
        <v>3036.1223669999999</v>
      </c>
      <c r="R424" s="190">
        <f t="shared" si="51"/>
        <v>-10216551.764954999</v>
      </c>
      <c r="S424" s="189" t="s">
        <v>6684</v>
      </c>
      <c r="AJ424" s="97">
        <v>126</v>
      </c>
      <c r="AK424" s="97" t="s">
        <v>5115</v>
      </c>
      <c r="AL424" s="131">
        <v>200000</v>
      </c>
      <c r="AM424" s="97">
        <v>1</v>
      </c>
      <c r="AN424" s="97">
        <f t="shared" si="52"/>
        <v>436</v>
      </c>
      <c r="AO424" s="97">
        <f t="shared" si="53"/>
        <v>87200000</v>
      </c>
      <c r="AP424" s="97"/>
    </row>
    <row r="425" spans="13:47">
      <c r="M425" s="354" t="s">
        <v>6659</v>
      </c>
      <c r="N425" s="1">
        <v>30000000</v>
      </c>
      <c r="O425" s="189" t="s">
        <v>6691</v>
      </c>
      <c r="P425" s="189">
        <v>-1733</v>
      </c>
      <c r="Q425" s="190">
        <v>2940.3427999999999</v>
      </c>
      <c r="R425" s="190">
        <f t="shared" si="51"/>
        <v>-5095614.0723999999</v>
      </c>
      <c r="S425" s="189" t="s">
        <v>6684</v>
      </c>
      <c r="AJ425" s="20">
        <v>127</v>
      </c>
      <c r="AK425" s="20" t="s">
        <v>5118</v>
      </c>
      <c r="AL425" s="37">
        <v>50000</v>
      </c>
      <c r="AM425" s="20">
        <v>4</v>
      </c>
      <c r="AN425" s="20">
        <f t="shared" si="52"/>
        <v>435</v>
      </c>
      <c r="AO425" s="20">
        <f t="shared" si="53"/>
        <v>21750000</v>
      </c>
      <c r="AP425" s="20"/>
    </row>
    <row r="426" spans="13:47">
      <c r="M426" s="354" t="s">
        <v>6665</v>
      </c>
      <c r="N426" s="1">
        <v>50000000</v>
      </c>
      <c r="O426" s="367" t="s">
        <v>6691</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6671</v>
      </c>
      <c r="N427" s="1">
        <v>2616960</v>
      </c>
      <c r="O427" s="367" t="s">
        <v>6692</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6677</v>
      </c>
      <c r="N428" s="1">
        <v>253557.36216800002</v>
      </c>
      <c r="O428" s="367" t="s">
        <v>6695</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6677</v>
      </c>
      <c r="N429" s="1">
        <v>13625826.882869001</v>
      </c>
      <c r="O429" s="189" t="s">
        <v>6699</v>
      </c>
      <c r="P429" s="189">
        <v>-1812</v>
      </c>
      <c r="Q429" s="190">
        <v>3015.492741</v>
      </c>
      <c r="R429" s="190">
        <f t="shared" si="51"/>
        <v>-5464072.8466919996</v>
      </c>
      <c r="S429" s="189" t="s">
        <v>6700</v>
      </c>
      <c r="AB429" t="s">
        <v>25</v>
      </c>
      <c r="AJ429" s="20">
        <v>131</v>
      </c>
      <c r="AK429" s="20" t="s">
        <v>5149</v>
      </c>
      <c r="AL429" s="37">
        <v>-9000000</v>
      </c>
      <c r="AM429" s="20">
        <v>8</v>
      </c>
      <c r="AN429" s="20">
        <f t="shared" si="54"/>
        <v>416</v>
      </c>
      <c r="AO429" s="20">
        <f t="shared" si="55"/>
        <v>-3744000000</v>
      </c>
      <c r="AP429" s="20"/>
    </row>
    <row r="430" spans="13:47">
      <c r="M430" s="354" t="s">
        <v>6679</v>
      </c>
      <c r="N430" s="1">
        <v>933193.93063399999</v>
      </c>
      <c r="O430" s="367" t="s">
        <v>6699</v>
      </c>
      <c r="P430" s="367">
        <v>-11819</v>
      </c>
      <c r="Q430" s="18">
        <v>3015.492741</v>
      </c>
      <c r="R430" s="18">
        <f t="shared" si="51"/>
        <v>-35640108.705879003</v>
      </c>
      <c r="S430" s="367" t="s">
        <v>6703</v>
      </c>
      <c r="AJ430" s="20">
        <v>132</v>
      </c>
      <c r="AK430" s="20" t="s">
        <v>5192</v>
      </c>
      <c r="AL430" s="37">
        <v>810000</v>
      </c>
      <c r="AM430" s="20">
        <v>2</v>
      </c>
      <c r="AN430" s="20">
        <f t="shared" si="54"/>
        <v>408</v>
      </c>
      <c r="AO430" s="20">
        <f t="shared" si="55"/>
        <v>330480000</v>
      </c>
      <c r="AP430" s="20"/>
    </row>
    <row r="431" spans="13:47">
      <c r="M431" s="354" t="s">
        <v>6680</v>
      </c>
      <c r="N431" s="18">
        <v>1191707.1852839999</v>
      </c>
      <c r="O431" s="367" t="s">
        <v>6699</v>
      </c>
      <c r="P431" s="367">
        <v>-120858</v>
      </c>
      <c r="Q431" s="18">
        <v>3015.492741</v>
      </c>
      <c r="R431" s="18">
        <f t="shared" si="51"/>
        <v>-364446421.691778</v>
      </c>
      <c r="S431" s="367" t="s">
        <v>6702</v>
      </c>
      <c r="AJ431" s="20">
        <v>133</v>
      </c>
      <c r="AK431" s="20" t="s">
        <v>5197</v>
      </c>
      <c r="AL431" s="37">
        <v>-5000000</v>
      </c>
      <c r="AM431" s="20">
        <v>3</v>
      </c>
      <c r="AN431" s="20">
        <f t="shared" si="54"/>
        <v>406</v>
      </c>
      <c r="AO431" s="20">
        <f t="shared" si="55"/>
        <v>-2030000000</v>
      </c>
      <c r="AP431" s="20"/>
    </row>
    <row r="432" spans="13:47">
      <c r="M432" s="354" t="s">
        <v>6681</v>
      </c>
      <c r="N432" s="1">
        <v>2538812.595222</v>
      </c>
      <c r="O432" s="367" t="s">
        <v>6704</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6683</v>
      </c>
      <c r="N433" s="1">
        <v>2016850.526604</v>
      </c>
      <c r="O433" s="367" t="s">
        <v>6664</v>
      </c>
      <c r="P433" s="367">
        <v>8290</v>
      </c>
      <c r="Q433" s="18">
        <v>3015.492741</v>
      </c>
      <c r="R433" s="18">
        <f t="shared" si="51"/>
        <v>24998434.822889999</v>
      </c>
      <c r="S433" s="367" t="s">
        <v>6708</v>
      </c>
      <c r="AJ433" s="172">
        <v>135</v>
      </c>
      <c r="AK433" s="172" t="s">
        <v>5201</v>
      </c>
      <c r="AL433" s="166">
        <v>-26000000</v>
      </c>
      <c r="AM433" s="172">
        <v>1</v>
      </c>
      <c r="AN433" s="172">
        <f t="shared" si="54"/>
        <v>403</v>
      </c>
      <c r="AO433" s="172">
        <f t="shared" si="55"/>
        <v>-10478000000</v>
      </c>
      <c r="AP433" s="172"/>
    </row>
    <row r="434" spans="13:47">
      <c r="M434" s="354" t="s">
        <v>6685</v>
      </c>
      <c r="N434" s="1">
        <v>130754.575732</v>
      </c>
      <c r="O434" s="367" t="s">
        <v>6713</v>
      </c>
      <c r="P434" s="367">
        <v>19234</v>
      </c>
      <c r="Q434" s="18">
        <v>3015.492741</v>
      </c>
      <c r="R434" s="18">
        <f t="shared" ref="R434:R506" si="56">P434*Q434</f>
        <v>57999987.380393997</v>
      </c>
      <c r="S434" s="367" t="s">
        <v>6708</v>
      </c>
      <c r="AJ434" s="20">
        <v>136</v>
      </c>
      <c r="AK434" s="20" t="s">
        <v>5205</v>
      </c>
      <c r="AL434" s="37">
        <v>-81800000</v>
      </c>
      <c r="AM434" s="20">
        <v>0</v>
      </c>
      <c r="AN434" s="20">
        <f t="shared" si="54"/>
        <v>402</v>
      </c>
      <c r="AO434" s="20">
        <f t="shared" si="55"/>
        <v>-32883600000</v>
      </c>
      <c r="AP434" s="20"/>
    </row>
    <row r="435" spans="13:47">
      <c r="M435" s="354" t="s">
        <v>6686</v>
      </c>
      <c r="N435" s="1">
        <v>153756.41398000001</v>
      </c>
      <c r="O435" s="367" t="s">
        <v>6714</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6691</v>
      </c>
      <c r="N436" s="1">
        <v>549780</v>
      </c>
      <c r="O436" s="367" t="s">
        <v>6717</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6692</v>
      </c>
      <c r="N437" s="1">
        <v>1464826.6705450001</v>
      </c>
      <c r="O437" s="367" t="s">
        <v>6724</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6695</v>
      </c>
      <c r="N438" s="1">
        <v>298481.41232</v>
      </c>
      <c r="O438" s="367" t="s">
        <v>6726</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6699</v>
      </c>
      <c r="N439" s="1">
        <v>-364446421.691778</v>
      </c>
      <c r="O439" s="367" t="s">
        <v>6727</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6704</v>
      </c>
      <c r="N440" s="1">
        <v>787043.60540100001</v>
      </c>
      <c r="O440" s="367" t="s">
        <v>6736</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6664</v>
      </c>
      <c r="N441" s="1">
        <v>25000000</v>
      </c>
      <c r="O441" s="367" t="s">
        <v>6737</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6713</v>
      </c>
      <c r="N442" s="1">
        <v>57999987.380393997</v>
      </c>
      <c r="O442" s="367" t="s">
        <v>6738</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6714</v>
      </c>
      <c r="N443" s="1">
        <v>679637.190848</v>
      </c>
      <c r="O443" s="367" t="s">
        <v>6739</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6717</v>
      </c>
      <c r="N444" s="1">
        <v>403055.30508300004</v>
      </c>
      <c r="O444" s="367" t="s">
        <v>6742</v>
      </c>
      <c r="P444" s="367">
        <v>3580</v>
      </c>
      <c r="Q444" s="18">
        <v>2792.7543000000001</v>
      </c>
      <c r="R444" s="18">
        <f t="shared" si="56"/>
        <v>9998060.3939999994</v>
      </c>
      <c r="S444" s="367" t="s">
        <v>6743</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6724</v>
      </c>
      <c r="N445" s="1">
        <v>477190.63777500001</v>
      </c>
      <c r="O445" s="367" t="s">
        <v>6742</v>
      </c>
      <c r="P445" s="367">
        <v>-3580</v>
      </c>
      <c r="Q445" s="18">
        <v>2792.7543000000001</v>
      </c>
      <c r="R445" s="18">
        <f t="shared" si="56"/>
        <v>-9998060.3939999994</v>
      </c>
      <c r="S445" s="367" t="s">
        <v>6744</v>
      </c>
      <c r="AJ445" s="20">
        <v>147</v>
      </c>
      <c r="AK445" s="20" t="s">
        <v>5158</v>
      </c>
      <c r="AL445" s="37">
        <v>-65461942</v>
      </c>
      <c r="AM445" s="20">
        <v>1</v>
      </c>
      <c r="AN445" s="20">
        <f t="shared" si="59"/>
        <v>338</v>
      </c>
      <c r="AO445" s="20">
        <f t="shared" si="60"/>
        <v>-22126136396</v>
      </c>
      <c r="AP445" s="20" t="s">
        <v>4615</v>
      </c>
    </row>
    <row r="446" spans="13:47">
      <c r="M446" s="354" t="s">
        <v>6726</v>
      </c>
      <c r="N446" s="1">
        <v>914936.54489999998</v>
      </c>
      <c r="O446" s="367" t="s">
        <v>6775</v>
      </c>
      <c r="P446" s="367">
        <v>3891</v>
      </c>
      <c r="Q446" s="18">
        <v>2964.3332270000001</v>
      </c>
      <c r="R446" s="18">
        <f t="shared" si="56"/>
        <v>11534220.586257</v>
      </c>
      <c r="S446" s="367" t="s">
        <v>6776</v>
      </c>
      <c r="AC446" t="s">
        <v>25</v>
      </c>
      <c r="AJ446" s="20">
        <v>148</v>
      </c>
      <c r="AK446" s="20" t="s">
        <v>5279</v>
      </c>
      <c r="AL446" s="37">
        <v>35000000</v>
      </c>
      <c r="AM446" s="20">
        <v>15</v>
      </c>
      <c r="AN446" s="20">
        <f t="shared" si="59"/>
        <v>337</v>
      </c>
      <c r="AO446" s="20">
        <f t="shared" si="60"/>
        <v>11795000000</v>
      </c>
      <c r="AP446" s="20"/>
      <c r="AS446" t="s">
        <v>25</v>
      </c>
    </row>
    <row r="447" spans="13:47">
      <c r="M447" s="354" t="s">
        <v>6727</v>
      </c>
      <c r="N447" s="1">
        <v>348393.04457099998</v>
      </c>
      <c r="O447" s="367" t="s">
        <v>6781</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6736</v>
      </c>
      <c r="N448" s="1">
        <v>720592.02784799994</v>
      </c>
      <c r="O448" s="367" t="s">
        <v>6782</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6737</v>
      </c>
      <c r="N449" s="1">
        <v>870021.48342200008</v>
      </c>
      <c r="O449" s="367" t="s">
        <v>6796</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6738</v>
      </c>
      <c r="N450" s="1">
        <v>379028.51315999997</v>
      </c>
      <c r="O450" s="367" t="s">
        <v>6798</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6739</v>
      </c>
      <c r="N451" s="1">
        <v>727150.09922600002</v>
      </c>
      <c r="O451" s="367" t="s">
        <v>6800</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6775</v>
      </c>
      <c r="N452" s="1">
        <v>11534220.586257</v>
      </c>
      <c r="O452" s="367" t="s">
        <v>6802</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6781</v>
      </c>
      <c r="N453" s="1">
        <v>8677446.9972630013</v>
      </c>
      <c r="O453" s="367" t="s">
        <v>6803</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6782</v>
      </c>
      <c r="N454" s="1">
        <v>3889315.7145719999</v>
      </c>
      <c r="O454" s="367" t="s">
        <v>6803</v>
      </c>
      <c r="P454" s="367">
        <v>93740</v>
      </c>
      <c r="Q454" s="18">
        <v>3795</v>
      </c>
      <c r="R454" s="18">
        <f t="shared" si="56"/>
        <v>355743300</v>
      </c>
      <c r="S454" s="367" t="s">
        <v>6832</v>
      </c>
      <c r="AJ454" s="20">
        <v>156</v>
      </c>
      <c r="AK454" s="20" t="s">
        <v>5337</v>
      </c>
      <c r="AL454" s="37">
        <v>90000</v>
      </c>
      <c r="AM454" s="20">
        <v>0</v>
      </c>
      <c r="AN454" s="20">
        <f t="shared" ref="AN454:AN468" si="61">AM454+AN455</f>
        <v>287</v>
      </c>
      <c r="AO454" s="20">
        <f t="shared" ref="AO454:AO468" si="62">AL454*AN454</f>
        <v>25830000</v>
      </c>
      <c r="AP454" s="20"/>
    </row>
    <row r="455" spans="13:46">
      <c r="M455" s="354" t="s">
        <v>6796</v>
      </c>
      <c r="N455" s="1">
        <v>6760129.9060710007</v>
      </c>
      <c r="O455" s="367" t="s">
        <v>6803</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6798</v>
      </c>
      <c r="N456" s="1">
        <v>9916796.5079399999</v>
      </c>
      <c r="O456" s="367" t="s">
        <v>6808</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6800</v>
      </c>
      <c r="N457" s="1">
        <v>968734.90064999997</v>
      </c>
      <c r="O457" s="367" t="s">
        <v>6811</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6802</v>
      </c>
      <c r="N458" s="1">
        <v>761939.35763300001</v>
      </c>
      <c r="O458" s="367" t="s">
        <v>6813</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6803</v>
      </c>
      <c r="N459" s="1">
        <v>3631828.8870270001</v>
      </c>
      <c r="O459" s="367" t="s">
        <v>6817</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6808</v>
      </c>
      <c r="N460" s="1">
        <v>1797773.921844</v>
      </c>
      <c r="O460" s="367" t="s">
        <v>6818</v>
      </c>
      <c r="P460" s="367">
        <v>2384</v>
      </c>
      <c r="Q460" s="18">
        <v>3595.7232680000002</v>
      </c>
      <c r="R460" s="18">
        <f t="shared" si="56"/>
        <v>8572204.2709120009</v>
      </c>
      <c r="S460" s="367" t="s">
        <v>4975</v>
      </c>
      <c r="AA460" t="s">
        <v>6797</v>
      </c>
      <c r="AB460" t="s">
        <v>25</v>
      </c>
      <c r="AJ460" s="97">
        <v>162</v>
      </c>
      <c r="AK460" s="97" t="s">
        <v>5405</v>
      </c>
      <c r="AL460" s="131">
        <v>200000</v>
      </c>
      <c r="AM460" s="97">
        <v>7</v>
      </c>
      <c r="AN460" s="97">
        <f t="shared" si="61"/>
        <v>245</v>
      </c>
      <c r="AO460" s="97">
        <f t="shared" si="62"/>
        <v>49000000</v>
      </c>
      <c r="AP460" s="97"/>
    </row>
    <row r="461" spans="13:46">
      <c r="M461" s="354" t="s">
        <v>6811</v>
      </c>
      <c r="N461" s="1">
        <v>4297159.3427689997</v>
      </c>
      <c r="O461" s="367" t="s">
        <v>6818</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6813</v>
      </c>
      <c r="N462" s="1">
        <v>4765717.1413799999</v>
      </c>
      <c r="O462" s="367" t="s">
        <v>6819</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6817</v>
      </c>
      <c r="N463" s="1">
        <v>3715272.2289780001</v>
      </c>
      <c r="O463" s="367" t="s">
        <v>6823</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6818</v>
      </c>
      <c r="N464" s="18">
        <v>8572204.2709120009</v>
      </c>
      <c r="O464" s="367" t="s">
        <v>6823</v>
      </c>
      <c r="P464" s="367">
        <v>12078</v>
      </c>
      <c r="Q464" s="18">
        <v>3660.67461</v>
      </c>
      <c r="R464" s="18">
        <f t="shared" si="56"/>
        <v>44213627.939580001</v>
      </c>
      <c r="S464" s="367" t="s">
        <v>6824</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6819</v>
      </c>
      <c r="N465" s="18">
        <v>5003571.3628719999</v>
      </c>
      <c r="O465" s="367" t="s">
        <v>6825</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6823</v>
      </c>
      <c r="N466" s="18">
        <v>4813787.1121500004</v>
      </c>
      <c r="O466" s="367" t="s">
        <v>6827</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6823</v>
      </c>
      <c r="N467" s="18">
        <v>44213627.939580001</v>
      </c>
      <c r="O467" s="367" t="s">
        <v>6830</v>
      </c>
      <c r="P467" s="367">
        <v>269</v>
      </c>
      <c r="Q467" s="18">
        <v>3710</v>
      </c>
      <c r="R467" s="18">
        <f t="shared" si="56"/>
        <v>997990</v>
      </c>
      <c r="S467" s="367" t="s">
        <v>6832</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6825</v>
      </c>
      <c r="N468" s="18">
        <v>6396520.1381280003</v>
      </c>
      <c r="O468" s="367" t="s">
        <v>6831</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6827</v>
      </c>
      <c r="N469" s="18">
        <v>10752710.353308</v>
      </c>
      <c r="O469" s="367" t="s">
        <v>6816</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6831</v>
      </c>
      <c r="N470" s="18">
        <v>25378123.030598</v>
      </c>
      <c r="O470" s="367" t="s">
        <v>6838</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6816</v>
      </c>
      <c r="N471" s="1">
        <v>4844410.7196660005</v>
      </c>
      <c r="O471" s="367" t="s">
        <v>6840</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6838</v>
      </c>
      <c r="N472" s="1">
        <v>4641284</v>
      </c>
      <c r="O472" s="367" t="s">
        <v>6843</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6840</v>
      </c>
      <c r="N473" s="1">
        <v>2066743.6704459998</v>
      </c>
      <c r="O473" s="367" t="s">
        <v>6844</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6843</v>
      </c>
      <c r="N474" s="1">
        <v>1783900.3856240001</v>
      </c>
      <c r="O474" s="367" t="s">
        <v>6845</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6844</v>
      </c>
      <c r="N475" s="1">
        <v>2444730.4589760001</v>
      </c>
      <c r="O475" s="367" t="s">
        <v>6846</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6845</v>
      </c>
      <c r="N476" s="1">
        <v>11150477.068770001</v>
      </c>
      <c r="O476" s="367" t="s">
        <v>6847</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6846</v>
      </c>
      <c r="N477" s="1">
        <v>2431394.0135999997</v>
      </c>
      <c r="O477" s="367" t="s">
        <v>6849</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6847</v>
      </c>
      <c r="N478" s="1">
        <v>8445499.6301039997</v>
      </c>
      <c r="O478" s="367" t="s">
        <v>6854</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6849</v>
      </c>
      <c r="N479" s="1">
        <v>3605149.5994500001</v>
      </c>
      <c r="O479" s="367" t="s">
        <v>6856</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6854</v>
      </c>
      <c r="N480" s="1">
        <v>2648717.3756280001</v>
      </c>
      <c r="O480" s="367" t="s">
        <v>6857</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6856</v>
      </c>
      <c r="N481" s="1">
        <v>3140841.0248159999</v>
      </c>
      <c r="O481" s="367" t="s">
        <v>6865</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6857</v>
      </c>
      <c r="N482" s="1">
        <v>1401154.6340009999</v>
      </c>
      <c r="O482" s="367" t="s">
        <v>6869</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6865</v>
      </c>
      <c r="N483" s="1">
        <v>1465766.7556200002</v>
      </c>
      <c r="O483" s="189" t="s">
        <v>6869</v>
      </c>
      <c r="P483" s="189">
        <v>314</v>
      </c>
      <c r="Q483" s="190">
        <v>4665</v>
      </c>
      <c r="R483" s="190">
        <f t="shared" si="56"/>
        <v>1464810</v>
      </c>
      <c r="S483" s="189" t="s">
        <v>6870</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6869</v>
      </c>
      <c r="N484" s="1">
        <v>11000000</v>
      </c>
      <c r="O484" s="367" t="s">
        <v>6869</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6869</v>
      </c>
      <c r="N485" s="1">
        <v>19489152.504344001</v>
      </c>
      <c r="O485" s="367" t="s">
        <v>6873</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6874</v>
      </c>
      <c r="N486" s="1">
        <v>46017582.952047996</v>
      </c>
      <c r="O486" s="367" t="s">
        <v>6880</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6880</v>
      </c>
      <c r="N487" s="1">
        <v>7550796.2979680002</v>
      </c>
      <c r="O487" s="367" t="s">
        <v>6881</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6881</v>
      </c>
      <c r="N488" s="1">
        <v>1688454</v>
      </c>
      <c r="O488" s="367" t="s">
        <v>6886</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6886</v>
      </c>
      <c r="N489" s="1">
        <v>10876225.6142</v>
      </c>
      <c r="O489" s="367" t="s">
        <v>6889</v>
      </c>
      <c r="P489" s="367">
        <v>2468</v>
      </c>
      <c r="Q489" s="18">
        <v>5277.5279049999999</v>
      </c>
      <c r="R489" s="18">
        <f t="shared" si="56"/>
        <v>13024938.86954</v>
      </c>
      <c r="S489" s="367" t="s">
        <v>4975</v>
      </c>
      <c r="AJ489" s="97">
        <v>209</v>
      </c>
      <c r="AK489" s="97" t="s">
        <v>6651</v>
      </c>
      <c r="AL489" s="131">
        <v>-20000000</v>
      </c>
      <c r="AM489" s="97">
        <v>0</v>
      </c>
      <c r="AN489" s="97">
        <f t="shared" si="65"/>
        <v>63</v>
      </c>
      <c r="AO489" s="97">
        <f t="shared" si="66"/>
        <v>-1260000000</v>
      </c>
      <c r="AP489" s="97" t="s">
        <v>6655</v>
      </c>
    </row>
    <row r="490" spans="13:48">
      <c r="M490" s="354" t="s">
        <v>6889</v>
      </c>
      <c r="N490" s="1">
        <v>13024938.86954</v>
      </c>
      <c r="O490" s="367" t="s">
        <v>6890</v>
      </c>
      <c r="P490" s="367">
        <v>3210</v>
      </c>
      <c r="Q490" s="18">
        <v>5271.9779159999998</v>
      </c>
      <c r="R490" s="18">
        <f t="shared" si="56"/>
        <v>16923049.11036</v>
      </c>
      <c r="S490" s="367" t="s">
        <v>4975</v>
      </c>
      <c r="AC490" t="s">
        <v>25</v>
      </c>
      <c r="AD490" t="s">
        <v>25</v>
      </c>
      <c r="AJ490" s="97">
        <v>210</v>
      </c>
      <c r="AK490" s="97" t="s">
        <v>6651</v>
      </c>
      <c r="AL490" s="131">
        <v>-59825035</v>
      </c>
      <c r="AM490" s="97">
        <v>0</v>
      </c>
      <c r="AN490" s="97">
        <f t="shared" si="65"/>
        <v>63</v>
      </c>
      <c r="AO490" s="97">
        <f t="shared" si="66"/>
        <v>-3768977205</v>
      </c>
      <c r="AP490" s="97" t="s">
        <v>5622</v>
      </c>
    </row>
    <row r="491" spans="13:48">
      <c r="M491" s="354" t="s">
        <v>6890</v>
      </c>
      <c r="N491" s="1">
        <v>16923049.11036</v>
      </c>
      <c r="O491" s="367" t="s">
        <v>6891</v>
      </c>
      <c r="P491" s="367">
        <v>637</v>
      </c>
      <c r="Q491" s="18">
        <v>5269.92</v>
      </c>
      <c r="R491" s="18">
        <f t="shared" si="56"/>
        <v>3356939.04</v>
      </c>
      <c r="S491" s="367" t="s">
        <v>4975</v>
      </c>
      <c r="AA491" t="s">
        <v>25</v>
      </c>
      <c r="AB491" t="s">
        <v>25</v>
      </c>
      <c r="AC491" t="s">
        <v>25</v>
      </c>
      <c r="AJ491" s="20">
        <v>211</v>
      </c>
      <c r="AK491" s="20" t="s">
        <v>6651</v>
      </c>
      <c r="AL491" s="37">
        <v>-450269000</v>
      </c>
      <c r="AM491" s="20">
        <v>1</v>
      </c>
      <c r="AN491" s="20">
        <f t="shared" si="65"/>
        <v>63</v>
      </c>
      <c r="AO491" s="20">
        <f t="shared" si="66"/>
        <v>-28366947000</v>
      </c>
      <c r="AP491" s="20" t="s">
        <v>5621</v>
      </c>
      <c r="AU491" t="s">
        <v>25</v>
      </c>
    </row>
    <row r="492" spans="13:48">
      <c r="M492" s="354" t="s">
        <v>6891</v>
      </c>
      <c r="N492" s="1">
        <v>3356939.04</v>
      </c>
      <c r="O492" s="367" t="s">
        <v>6892</v>
      </c>
      <c r="P492" s="367">
        <v>5584</v>
      </c>
      <c r="Q492" s="18">
        <v>5401.777</v>
      </c>
      <c r="R492" s="18">
        <f t="shared" si="56"/>
        <v>30163522.767999999</v>
      </c>
      <c r="S492" s="367" t="s">
        <v>4975</v>
      </c>
      <c r="AJ492" s="20">
        <v>212</v>
      </c>
      <c r="AK492" s="20" t="s">
        <v>6659</v>
      </c>
      <c r="AL492" s="37">
        <v>50000000</v>
      </c>
      <c r="AM492" s="20">
        <v>1</v>
      </c>
      <c r="AN492" s="20">
        <f t="shared" si="65"/>
        <v>62</v>
      </c>
      <c r="AO492" s="20">
        <f t="shared" si="66"/>
        <v>3100000000</v>
      </c>
      <c r="AP492" s="20" t="s">
        <v>5624</v>
      </c>
      <c r="AT492" t="s">
        <v>25</v>
      </c>
      <c r="AU492" t="s">
        <v>25</v>
      </c>
    </row>
    <row r="493" spans="13:48">
      <c r="M493" s="354" t="s">
        <v>6892</v>
      </c>
      <c r="N493" s="1">
        <v>30163522.767999999</v>
      </c>
      <c r="O493" s="367" t="s">
        <v>6893</v>
      </c>
      <c r="P493" s="367">
        <v>4914</v>
      </c>
      <c r="Q493" s="18">
        <v>5310.9320900000002</v>
      </c>
      <c r="R493" s="18">
        <f t="shared" si="56"/>
        <v>26097920.290260002</v>
      </c>
      <c r="S493" s="367" t="s">
        <v>4975</v>
      </c>
      <c r="AB493" t="s">
        <v>25</v>
      </c>
      <c r="AJ493" s="20">
        <v>213</v>
      </c>
      <c r="AK493" s="20" t="s">
        <v>6664</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6893</v>
      </c>
      <c r="N494" s="1">
        <v>26097920.290260002</v>
      </c>
      <c r="O494" s="367" t="s">
        <v>6900</v>
      </c>
      <c r="P494" s="367">
        <v>2530</v>
      </c>
      <c r="Q494" s="18">
        <v>5281.4436539999997</v>
      </c>
      <c r="R494" s="18">
        <f t="shared" si="56"/>
        <v>13362052.444619998</v>
      </c>
      <c r="S494" s="367" t="s">
        <v>4975</v>
      </c>
      <c r="AB494" t="s">
        <v>25</v>
      </c>
      <c r="AJ494" s="20">
        <v>214</v>
      </c>
      <c r="AK494" s="20" t="s">
        <v>6665</v>
      </c>
      <c r="AL494" s="37">
        <v>50000000</v>
      </c>
      <c r="AM494" s="20">
        <v>1</v>
      </c>
      <c r="AN494" s="20">
        <f t="shared" si="67"/>
        <v>60</v>
      </c>
      <c r="AO494" s="20">
        <f t="shared" si="68"/>
        <v>3000000000</v>
      </c>
      <c r="AP494" s="20" t="s">
        <v>5624</v>
      </c>
      <c r="AS494" t="s">
        <v>25</v>
      </c>
    </row>
    <row r="495" spans="13:48">
      <c r="M495" s="354" t="s">
        <v>6900</v>
      </c>
      <c r="N495" s="1">
        <v>13362052.444619998</v>
      </c>
      <c r="O495" s="367" t="s">
        <v>6902</v>
      </c>
      <c r="P495" s="367">
        <v>1295</v>
      </c>
      <c r="Q495" s="18">
        <v>5383.64</v>
      </c>
      <c r="R495" s="18">
        <f t="shared" si="56"/>
        <v>6971813.8000000007</v>
      </c>
      <c r="S495" s="367" t="s">
        <v>4975</v>
      </c>
      <c r="U495" t="s">
        <v>25</v>
      </c>
      <c r="AJ495" s="20">
        <v>215</v>
      </c>
      <c r="AK495" s="20" t="s">
        <v>6666</v>
      </c>
      <c r="AL495" s="37">
        <v>50000000</v>
      </c>
      <c r="AM495" s="20">
        <v>1</v>
      </c>
      <c r="AN495" s="20">
        <f t="shared" si="67"/>
        <v>59</v>
      </c>
      <c r="AO495" s="20">
        <f t="shared" si="68"/>
        <v>2950000000</v>
      </c>
      <c r="AP495" s="20" t="s">
        <v>5624</v>
      </c>
    </row>
    <row r="496" spans="13:48">
      <c r="M496" s="354" t="s">
        <v>6902</v>
      </c>
      <c r="N496" s="1">
        <v>6971813.8000000007</v>
      </c>
      <c r="O496" s="367" t="s">
        <v>6909</v>
      </c>
      <c r="P496" s="367">
        <v>1462</v>
      </c>
      <c r="Q496" s="18">
        <v>6093.69</v>
      </c>
      <c r="R496" s="18">
        <f t="shared" si="56"/>
        <v>8908974.7799999993</v>
      </c>
      <c r="S496" s="367" t="s">
        <v>4975</v>
      </c>
      <c r="AD496" t="s">
        <v>25</v>
      </c>
      <c r="AJ496" s="20">
        <v>216</v>
      </c>
      <c r="AK496" s="20" t="s">
        <v>6667</v>
      </c>
      <c r="AL496" s="37">
        <v>100000000</v>
      </c>
      <c r="AM496" s="20">
        <v>1</v>
      </c>
      <c r="AN496" s="20">
        <f t="shared" si="67"/>
        <v>58</v>
      </c>
      <c r="AO496" s="20">
        <f t="shared" si="68"/>
        <v>5800000000</v>
      </c>
      <c r="AP496" s="20" t="s">
        <v>5624</v>
      </c>
    </row>
    <row r="497" spans="13:46">
      <c r="M497" s="354" t="s">
        <v>6909</v>
      </c>
      <c r="N497" s="1">
        <v>8908974.7799999993</v>
      </c>
      <c r="O497" s="367" t="s">
        <v>6910</v>
      </c>
      <c r="P497" s="367">
        <v>120</v>
      </c>
      <c r="Q497" s="18">
        <v>6076</v>
      </c>
      <c r="R497" s="18">
        <f t="shared" si="56"/>
        <v>729120</v>
      </c>
      <c r="S497" s="367" t="s">
        <v>6911</v>
      </c>
      <c r="AC497" t="s">
        <v>25</v>
      </c>
      <c r="AJ497" s="20">
        <v>217</v>
      </c>
      <c r="AK497" s="20" t="s">
        <v>6669</v>
      </c>
      <c r="AL497" s="37">
        <v>50000000</v>
      </c>
      <c r="AM497" s="20">
        <v>1</v>
      </c>
      <c r="AN497" s="20">
        <f t="shared" si="67"/>
        <v>57</v>
      </c>
      <c r="AO497" s="20">
        <f t="shared" si="68"/>
        <v>2850000000</v>
      </c>
      <c r="AP497" s="20" t="s">
        <v>5624</v>
      </c>
    </row>
    <row r="498" spans="13:46">
      <c r="M498" s="354" t="s">
        <v>6910</v>
      </c>
      <c r="N498" s="1">
        <v>-105576576</v>
      </c>
      <c r="O498" s="367" t="s">
        <v>6910</v>
      </c>
      <c r="P498" s="367">
        <v>-17376</v>
      </c>
      <c r="Q498" s="18">
        <v>6076</v>
      </c>
      <c r="R498" s="18">
        <f t="shared" si="56"/>
        <v>-105576576</v>
      </c>
      <c r="S498" s="367" t="s">
        <v>6913</v>
      </c>
      <c r="AA498" t="s">
        <v>25</v>
      </c>
      <c r="AB498" t="s">
        <v>25</v>
      </c>
      <c r="AJ498" s="20">
        <v>218</v>
      </c>
      <c r="AK498" s="20" t="s">
        <v>6671</v>
      </c>
      <c r="AL498" s="37">
        <v>65511600</v>
      </c>
      <c r="AM498" s="20">
        <v>1</v>
      </c>
      <c r="AN498" s="20">
        <f t="shared" si="67"/>
        <v>56</v>
      </c>
      <c r="AO498" s="20">
        <f t="shared" si="68"/>
        <v>3668649600</v>
      </c>
      <c r="AP498" s="20" t="s">
        <v>5624</v>
      </c>
      <c r="AT498" t="s">
        <v>25</v>
      </c>
    </row>
    <row r="499" spans="13:46">
      <c r="M499" s="354" t="s">
        <v>7012</v>
      </c>
      <c r="N499" s="18">
        <v>3096535.9948499999</v>
      </c>
      <c r="O499" s="367" t="s">
        <v>6915</v>
      </c>
      <c r="P499" s="367">
        <v>-804</v>
      </c>
      <c r="Q499" s="18">
        <v>6213</v>
      </c>
      <c r="R499" s="18">
        <f t="shared" si="56"/>
        <v>-4995252</v>
      </c>
      <c r="S499" s="367" t="s">
        <v>6916</v>
      </c>
      <c r="AD499" t="s">
        <v>25</v>
      </c>
      <c r="AJ499" s="20">
        <v>219</v>
      </c>
      <c r="AK499" s="20" t="s">
        <v>6675</v>
      </c>
      <c r="AL499" s="37">
        <v>25000000</v>
      </c>
      <c r="AM499" s="20">
        <v>25</v>
      </c>
      <c r="AN499" s="20">
        <f t="shared" si="67"/>
        <v>55</v>
      </c>
      <c r="AO499" s="20">
        <f t="shared" si="68"/>
        <v>1375000000</v>
      </c>
      <c r="AP499" s="20" t="s">
        <v>5624</v>
      </c>
    </row>
    <row r="500" spans="13:46">
      <c r="M500" s="354" t="s">
        <v>7013</v>
      </c>
      <c r="N500" s="18">
        <v>5999026.1866499996</v>
      </c>
      <c r="O500" s="189" t="s">
        <v>6994</v>
      </c>
      <c r="P500" s="189">
        <v>-3167</v>
      </c>
      <c r="Q500" s="190">
        <v>6314</v>
      </c>
      <c r="R500" s="190">
        <f t="shared" si="56"/>
        <v>-19996438</v>
      </c>
      <c r="S500" s="189" t="s">
        <v>6684</v>
      </c>
      <c r="U500" t="s">
        <v>25</v>
      </c>
      <c r="AB500" t="s">
        <v>25</v>
      </c>
      <c r="AJ500" s="97">
        <v>220</v>
      </c>
      <c r="AK500" s="97" t="s">
        <v>6683</v>
      </c>
      <c r="AL500" s="131">
        <v>-15162600</v>
      </c>
      <c r="AM500" s="97">
        <v>7</v>
      </c>
      <c r="AN500" s="20">
        <f t="shared" si="67"/>
        <v>30</v>
      </c>
      <c r="AO500" s="20">
        <f t="shared" si="68"/>
        <v>-454878000</v>
      </c>
      <c r="AP500" s="97" t="s">
        <v>6705</v>
      </c>
      <c r="AR500" t="s">
        <v>25</v>
      </c>
    </row>
    <row r="501" spans="13:46">
      <c r="M501" s="354" t="s">
        <v>7063</v>
      </c>
      <c r="N501" s="1">
        <v>43484343.389820002</v>
      </c>
      <c r="O501" s="367" t="s">
        <v>6995</v>
      </c>
      <c r="P501" s="367">
        <v>-1868</v>
      </c>
      <c r="Q501" s="18">
        <v>6287</v>
      </c>
      <c r="R501" s="18">
        <f t="shared" si="56"/>
        <v>-11744116</v>
      </c>
      <c r="S501" s="367" t="s">
        <v>5621</v>
      </c>
      <c r="U501" t="s">
        <v>25</v>
      </c>
      <c r="AB501" t="s">
        <v>25</v>
      </c>
      <c r="AC501" t="s">
        <v>25</v>
      </c>
      <c r="AD501" t="s">
        <v>25</v>
      </c>
      <c r="AJ501" s="97">
        <v>221</v>
      </c>
      <c r="AK501" s="97" t="s">
        <v>6687</v>
      </c>
      <c r="AL501" s="131">
        <v>-10216551.764954999</v>
      </c>
      <c r="AM501" s="97">
        <v>4</v>
      </c>
      <c r="AN501" s="20">
        <f t="shared" si="67"/>
        <v>23</v>
      </c>
      <c r="AO501" s="20">
        <f t="shared" si="68"/>
        <v>-234980690.59396499</v>
      </c>
      <c r="AP501" s="97" t="s">
        <v>6705</v>
      </c>
    </row>
    <row r="502" spans="13:46">
      <c r="M502" s="354" t="s">
        <v>7063</v>
      </c>
      <c r="N502" s="1">
        <v>776396321.66064</v>
      </c>
      <c r="O502" s="367" t="s">
        <v>6995</v>
      </c>
      <c r="P502" s="367">
        <v>-37</v>
      </c>
      <c r="Q502" s="18">
        <v>6287</v>
      </c>
      <c r="R502" s="18">
        <f t="shared" si="56"/>
        <v>-232619</v>
      </c>
      <c r="S502" s="367" t="s">
        <v>5622</v>
      </c>
      <c r="AJ502" s="97">
        <v>222</v>
      </c>
      <c r="AK502" s="97" t="s">
        <v>6691</v>
      </c>
      <c r="AL502" s="131">
        <v>-5095614.0723999999</v>
      </c>
      <c r="AM502" s="97">
        <v>18</v>
      </c>
      <c r="AN502" s="20">
        <f t="shared" si="67"/>
        <v>19</v>
      </c>
      <c r="AO502" s="20">
        <f t="shared" si="68"/>
        <v>-96816667.375599995</v>
      </c>
      <c r="AP502" s="97" t="s">
        <v>6705</v>
      </c>
    </row>
    <row r="503" spans="13:46">
      <c r="M503" s="354"/>
      <c r="N503" s="1"/>
      <c r="O503" s="367" t="s">
        <v>7012</v>
      </c>
      <c r="P503" s="367">
        <v>530</v>
      </c>
      <c r="Q503" s="18">
        <v>5842.5207449999998</v>
      </c>
      <c r="R503" s="18">
        <f t="shared" si="56"/>
        <v>3096535.9948499999</v>
      </c>
      <c r="S503" s="367" t="s">
        <v>6708</v>
      </c>
      <c r="AJ503" s="97">
        <v>223</v>
      </c>
      <c r="AK503" s="97" t="s">
        <v>6699</v>
      </c>
      <c r="AL503" s="131">
        <v>-5464072.8466919996</v>
      </c>
      <c r="AM503" s="97">
        <v>0</v>
      </c>
      <c r="AN503" s="20">
        <f t="shared" si="67"/>
        <v>1</v>
      </c>
      <c r="AO503" s="20">
        <f t="shared" si="68"/>
        <v>-5464072.8466919996</v>
      </c>
      <c r="AP503" s="97" t="s">
        <v>6168</v>
      </c>
    </row>
    <row r="504" spans="13:46">
      <c r="M504" s="354"/>
      <c r="N504" s="1"/>
      <c r="O504" s="367" t="s">
        <v>7013</v>
      </c>
      <c r="P504" s="367">
        <v>1050</v>
      </c>
      <c r="Q504" s="18">
        <v>5713.3582729999998</v>
      </c>
      <c r="R504" s="18">
        <f t="shared" si="56"/>
        <v>5999026.1866499996</v>
      </c>
      <c r="S504" s="367" t="s">
        <v>6708</v>
      </c>
      <c r="AJ504" s="20">
        <v>224</v>
      </c>
      <c r="AK504" s="20" t="s">
        <v>6706</v>
      </c>
      <c r="AL504" s="37">
        <v>-35642178</v>
      </c>
      <c r="AM504" s="20">
        <v>1</v>
      </c>
      <c r="AN504" s="20">
        <f t="shared" si="67"/>
        <v>1</v>
      </c>
      <c r="AO504" s="20">
        <f t="shared" si="68"/>
        <v>-35642178</v>
      </c>
      <c r="AP504" s="20" t="s">
        <v>6702</v>
      </c>
    </row>
    <row r="505" spans="13:46">
      <c r="M505" s="354"/>
      <c r="N505" s="1"/>
      <c r="O505" s="367" t="s">
        <v>7063</v>
      </c>
      <c r="P505" s="367">
        <v>7346</v>
      </c>
      <c r="Q505" s="18">
        <v>5919.45867</v>
      </c>
      <c r="R505" s="18">
        <f t="shared" si="56"/>
        <v>43484343.389820002</v>
      </c>
      <c r="S505" s="367" t="s">
        <v>7069</v>
      </c>
      <c r="AJ505" s="20"/>
      <c r="AK505" s="20"/>
      <c r="AL505" s="37"/>
      <c r="AM505" s="20"/>
      <c r="AN505" s="20">
        <f t="shared" si="67"/>
        <v>0</v>
      </c>
      <c r="AO505" s="20">
        <f t="shared" si="68"/>
        <v>0</v>
      </c>
      <c r="AP505" s="20"/>
    </row>
    <row r="506" spans="13:46">
      <c r="M506" s="354"/>
      <c r="N506" s="1"/>
      <c r="O506" s="367" t="s">
        <v>7063</v>
      </c>
      <c r="P506" s="367">
        <v>131160</v>
      </c>
      <c r="Q506" s="18">
        <v>5919.4596039999997</v>
      </c>
      <c r="R506" s="18">
        <f t="shared" si="56"/>
        <v>776396321.66064</v>
      </c>
      <c r="S506" s="367" t="s">
        <v>7068</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9555609215</v>
      </c>
    </row>
    <row r="516" spans="13:42">
      <c r="O516" s="143">
        <f>H17/P513</f>
        <v>5684.9019250893843</v>
      </c>
      <c r="P516" s="35"/>
      <c r="Q516" s="35"/>
      <c r="R516" s="35"/>
      <c r="S516" s="35" t="s">
        <v>25</v>
      </c>
      <c r="T516" t="s">
        <v>25</v>
      </c>
      <c r="AB516" t="s">
        <v>25</v>
      </c>
      <c r="AK516" t="s">
        <v>4037</v>
      </c>
      <c r="AL516" s="7">
        <f>AL515-AL511</f>
        <v>9495597278.8358192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9391239546.6303463</v>
      </c>
      <c r="AO518" t="s">
        <v>25</v>
      </c>
      <c r="AP518" t="s">
        <v>25</v>
      </c>
    </row>
    <row r="519" spans="13:42">
      <c r="O519" s="76"/>
      <c r="P519" s="1">
        <v>-776397440</v>
      </c>
      <c r="Q519" s="35">
        <f>P519/O516</f>
        <v>-136571.82660856415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26912166536.119244</v>
      </c>
      <c r="Q529" s="26">
        <f>P529-O529</f>
        <v>23989906198.368744</v>
      </c>
    </row>
    <row r="530" spans="15:28">
      <c r="O530"/>
      <c r="R530" t="s">
        <v>25</v>
      </c>
      <c r="AB530" t="s">
        <v>25</v>
      </c>
    </row>
    <row r="531" spans="15:28">
      <c r="O531"/>
      <c r="Q531">
        <v>193</v>
      </c>
    </row>
    <row r="532" spans="15:28">
      <c r="O532" t="s">
        <v>5281</v>
      </c>
      <c r="P532">
        <v>353427</v>
      </c>
      <c r="Q532" s="7">
        <f>P532*$Q$531</f>
        <v>68211411</v>
      </c>
    </row>
    <row r="533" spans="15:28">
      <c r="O533" t="s">
        <v>6633</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D39" zoomScale="85" zoomScaleNormal="85" workbookViewId="0">
      <selection activeCell="D63" sqref="D6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7016</v>
      </c>
      <c r="B1" s="225" t="s">
        <v>4134</v>
      </c>
      <c r="C1" s="224">
        <v>2055</v>
      </c>
      <c r="D1" s="301">
        <v>104457</v>
      </c>
      <c r="E1" s="435" t="s">
        <v>4542</v>
      </c>
      <c r="F1" s="436">
        <v>530</v>
      </c>
      <c r="G1" s="482">
        <f>C1*D1*0.9912/(F1*1.003631981)</f>
        <v>400000.2907177037</v>
      </c>
      <c r="H1" s="437">
        <f>C1/F1</f>
        <v>3.8773584905660377</v>
      </c>
      <c r="I1" s="437">
        <f>$O$32/$P$34</f>
        <v>3.778355993696632</v>
      </c>
      <c r="J1" s="437">
        <f t="shared" ref="J1" si="0">I1/H1</f>
        <v>0.97446650932321899</v>
      </c>
      <c r="K1" s="435">
        <f t="shared" ref="K1" si="1">(1/J1-1.0256)*100</f>
        <v>6.0253280383570917E-2</v>
      </c>
      <c r="L1" s="491"/>
      <c r="M1" s="524"/>
      <c r="O1" s="531" t="s">
        <v>7011</v>
      </c>
      <c r="P1">
        <v>70</v>
      </c>
    </row>
    <row r="2" spans="1:25" ht="18.75">
      <c r="A2" s="229" t="s">
        <v>7017</v>
      </c>
      <c r="B2" s="225" t="s">
        <v>4134</v>
      </c>
      <c r="C2" s="224">
        <v>2093.3000000000002</v>
      </c>
      <c r="D2" s="301">
        <v>26100</v>
      </c>
      <c r="E2" s="435" t="s">
        <v>4542</v>
      </c>
      <c r="F2" s="436">
        <v>529</v>
      </c>
      <c r="G2" s="482">
        <f>C2*D2*0.9912/(F2*1.003631981)</f>
        <v>102000.69016856098</v>
      </c>
      <c r="H2" s="437">
        <f>C2/F2</f>
        <v>3.9570888468809078</v>
      </c>
      <c r="I2" s="437">
        <f>$O$32/$P$34</f>
        <v>3.778355993696632</v>
      </c>
      <c r="J2" s="437">
        <f t="shared" ref="J2" si="2">I2/H2</f>
        <v>0.95483223650003257</v>
      </c>
      <c r="K2" s="435">
        <f t="shared" ref="K2" si="3">(1/J2-1.0256)*100</f>
        <v>2.1704397331128167</v>
      </c>
      <c r="L2" s="491"/>
      <c r="M2" s="524"/>
      <c r="O2" s="531" t="s">
        <v>4163</v>
      </c>
      <c r="P2">
        <v>860</v>
      </c>
      <c r="R2" s="7"/>
      <c r="S2" s="355" t="s">
        <v>6779</v>
      </c>
    </row>
    <row r="3" spans="1:25" ht="18.75">
      <c r="A3" s="229"/>
      <c r="B3" s="225"/>
      <c r="C3" s="224"/>
      <c r="D3" s="301"/>
      <c r="E3" s="435"/>
      <c r="F3" s="436"/>
      <c r="G3" s="482"/>
      <c r="H3" s="437"/>
      <c r="I3" s="437"/>
      <c r="J3" s="437"/>
      <c r="K3" s="435"/>
      <c r="L3" s="491"/>
      <c r="M3" s="524"/>
      <c r="N3" s="341"/>
      <c r="O3" s="531" t="s">
        <v>6914</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7016</v>
      </c>
      <c r="B7" s="366" t="s">
        <v>5139</v>
      </c>
      <c r="C7" s="226">
        <v>793</v>
      </c>
      <c r="D7" s="369">
        <v>763462</v>
      </c>
      <c r="E7" s="543" t="s">
        <v>4134</v>
      </c>
      <c r="F7" s="544">
        <v>2055</v>
      </c>
      <c r="G7" s="301">
        <f t="shared" ref="G7:G15" si="4">C7*D7*0.9912/(F7*1.003631981)</f>
        <v>290961.54113262735</v>
      </c>
      <c r="H7" s="499">
        <f t="shared" ref="H7:H15" si="5">C7/F7</f>
        <v>0.3858880778588808</v>
      </c>
      <c r="I7" s="545">
        <f>$O$33/$O$32</f>
        <v>0.40434326573884011</v>
      </c>
      <c r="J7" s="499">
        <f t="shared" ref="J7" si="6">I7/H7</f>
        <v>1.0478252346700081</v>
      </c>
      <c r="K7" s="546">
        <f t="shared" ref="K7" si="7">(1/J7-1.0256)*100</f>
        <v>-7.1242377266348083</v>
      </c>
      <c r="L7" s="491"/>
      <c r="M7" s="344"/>
      <c r="S7" t="s">
        <v>6606</v>
      </c>
    </row>
    <row r="8" spans="1:25" ht="18.75">
      <c r="A8" s="542" t="s">
        <v>7016</v>
      </c>
      <c r="B8" s="366" t="s">
        <v>5139</v>
      </c>
      <c r="C8" s="226">
        <v>793</v>
      </c>
      <c r="D8" s="369">
        <v>296056</v>
      </c>
      <c r="E8" s="543" t="s">
        <v>4134</v>
      </c>
      <c r="F8" s="544">
        <v>2055</v>
      </c>
      <c r="G8" s="301">
        <f t="shared" si="4"/>
        <v>112829.33534551966</v>
      </c>
      <c r="H8" s="499">
        <f t="shared" si="5"/>
        <v>0.3858880778588808</v>
      </c>
      <c r="I8" s="545">
        <f t="shared" ref="I8:I15" si="8">$O$33/$O$32</f>
        <v>0.40434326573884011</v>
      </c>
      <c r="J8" s="499">
        <f t="shared" ref="J8" si="9">I8/H8</f>
        <v>1.0478252346700081</v>
      </c>
      <c r="K8" s="546">
        <f t="shared" ref="K8" si="10">(1/J8-1.0256)*100</f>
        <v>-7.1242377266348083</v>
      </c>
      <c r="L8" s="491"/>
      <c r="M8" s="344"/>
      <c r="N8" s="549"/>
      <c r="O8" s="549"/>
      <c r="P8" s="322" t="s">
        <v>6805</v>
      </c>
      <c r="Q8" s="323">
        <f>Q10*Q11*1.003631981/(Q9*0.9912)</f>
        <v>114969.8578087394</v>
      </c>
      <c r="W8" t="s">
        <v>25</v>
      </c>
    </row>
    <row r="9" spans="1:25" ht="18.75">
      <c r="A9" s="542" t="s">
        <v>7017</v>
      </c>
      <c r="B9" s="366" t="s">
        <v>5139</v>
      </c>
      <c r="C9" s="226">
        <v>790</v>
      </c>
      <c r="D9" s="369">
        <v>949989</v>
      </c>
      <c r="E9" s="543" t="s">
        <v>4134</v>
      </c>
      <c r="F9" s="544">
        <v>2093.3000000000002</v>
      </c>
      <c r="G9" s="301">
        <f t="shared" si="4"/>
        <v>354079.67342757504</v>
      </c>
      <c r="H9" s="499">
        <f t="shared" si="5"/>
        <v>0.37739454449911619</v>
      </c>
      <c r="I9" s="545">
        <f t="shared" si="8"/>
        <v>0.40434326573884011</v>
      </c>
      <c r="J9" s="499">
        <f t="shared" ref="J9" si="11">I9/H9</f>
        <v>1.071407288824195</v>
      </c>
      <c r="K9" s="546">
        <f t="shared" ref="K9" si="12">(1/J9-1.0256)*100</f>
        <v>-9.224812678524918</v>
      </c>
      <c r="L9" s="491"/>
      <c r="M9" s="344"/>
      <c r="N9" s="549"/>
      <c r="O9" s="549"/>
      <c r="P9" s="324" t="s">
        <v>6804</v>
      </c>
      <c r="Q9" s="325">
        <v>2668</v>
      </c>
    </row>
    <row r="10" spans="1:25" ht="18.75">
      <c r="A10" s="542" t="s">
        <v>7017</v>
      </c>
      <c r="B10" s="366" t="s">
        <v>5139</v>
      </c>
      <c r="C10" s="226">
        <v>790</v>
      </c>
      <c r="D10" s="369">
        <v>107553</v>
      </c>
      <c r="E10" s="543" t="s">
        <v>4134</v>
      </c>
      <c r="F10" s="544">
        <v>2093</v>
      </c>
      <c r="G10" s="301">
        <f t="shared" si="4"/>
        <v>40092.874385141586</v>
      </c>
      <c r="H10" s="499">
        <f t="shared" si="5"/>
        <v>0.37744863831820352</v>
      </c>
      <c r="I10" s="545">
        <f t="shared" si="8"/>
        <v>0.40434326573884011</v>
      </c>
      <c r="J10" s="499">
        <f t="shared" ref="J10" si="13">I10/H10</f>
        <v>1.071253740748598</v>
      </c>
      <c r="K10" s="546">
        <f t="shared" ref="K10" si="14">(1/J10-1.0256)*100</f>
        <v>-9.2114344863622684</v>
      </c>
      <c r="L10" s="491"/>
      <c r="M10" s="344"/>
      <c r="P10" s="324" t="s">
        <v>6806</v>
      </c>
      <c r="Q10" s="325">
        <v>765000</v>
      </c>
    </row>
    <row r="11" spans="1:25" ht="19.5" thickBot="1">
      <c r="A11" s="542" t="s">
        <v>7019</v>
      </c>
      <c r="B11" s="366" t="s">
        <v>5139</v>
      </c>
      <c r="C11" s="226">
        <v>792</v>
      </c>
      <c r="D11" s="369">
        <v>78279</v>
      </c>
      <c r="E11" s="543" t="s">
        <v>4134</v>
      </c>
      <c r="F11" s="544">
        <v>2103</v>
      </c>
      <c r="G11" s="301">
        <f t="shared" si="4"/>
        <v>29115.079445126827</v>
      </c>
      <c r="H11" s="499">
        <f t="shared" si="5"/>
        <v>0.37660485021398005</v>
      </c>
      <c r="I11" s="545">
        <f t="shared" si="8"/>
        <v>0.40434326573884011</v>
      </c>
      <c r="J11" s="499">
        <f t="shared" ref="J11" si="15">I11/H11</f>
        <v>1.0736538987989654</v>
      </c>
      <c r="K11" s="546">
        <f t="shared" ref="K11" si="16">(1/J11-1.0256)*100</f>
        <v>-9.4201156183904224</v>
      </c>
      <c r="L11" s="491"/>
      <c r="M11" s="344"/>
      <c r="P11" s="326" t="s">
        <v>6807</v>
      </c>
      <c r="Q11" s="327">
        <v>396</v>
      </c>
    </row>
    <row r="12" spans="1:25" ht="18.75">
      <c r="A12" s="542" t="s">
        <v>7019</v>
      </c>
      <c r="B12" s="366" t="s">
        <v>5139</v>
      </c>
      <c r="C12" s="226">
        <v>792</v>
      </c>
      <c r="D12" s="369">
        <v>11155</v>
      </c>
      <c r="E12" s="543" t="s">
        <v>4134</v>
      </c>
      <c r="F12" s="544">
        <v>2103</v>
      </c>
      <c r="G12" s="301">
        <f t="shared" si="4"/>
        <v>4148.9890163439713</v>
      </c>
      <c r="H12" s="499">
        <f t="shared" si="5"/>
        <v>0.37660485021398005</v>
      </c>
      <c r="I12" s="545">
        <f t="shared" si="8"/>
        <v>0.40434326573884011</v>
      </c>
      <c r="J12" s="499">
        <f t="shared" ref="J12" si="17">I12/H12</f>
        <v>1.0736538987989654</v>
      </c>
      <c r="K12" s="546">
        <f t="shared" ref="K12" si="18">(1/J12-1.0256)*100</f>
        <v>-9.4201156183904224</v>
      </c>
      <c r="L12" s="491"/>
      <c r="M12" s="344"/>
    </row>
    <row r="13" spans="1:25" ht="18.75">
      <c r="A13" s="542" t="s">
        <v>7019</v>
      </c>
      <c r="B13" s="366" t="s">
        <v>5139</v>
      </c>
      <c r="C13" s="226">
        <v>792</v>
      </c>
      <c r="D13" s="369">
        <v>22919</v>
      </c>
      <c r="E13" s="543" t="s">
        <v>4134</v>
      </c>
      <c r="F13" s="544">
        <v>2103</v>
      </c>
      <c r="G13" s="301">
        <f t="shared" si="4"/>
        <v>8524.4894007698331</v>
      </c>
      <c r="H13" s="499">
        <f t="shared" si="5"/>
        <v>0.37660485021398005</v>
      </c>
      <c r="I13" s="545">
        <f t="shared" si="8"/>
        <v>0.40434326573884011</v>
      </c>
      <c r="J13" s="499">
        <f t="shared" ref="J13" si="19">I13/H13</f>
        <v>1.0736538987989654</v>
      </c>
      <c r="K13" s="546">
        <f t="shared" ref="K13" si="20">(1/J13-1.0256)*100</f>
        <v>-9.4201156183904224</v>
      </c>
      <c r="L13" s="491"/>
      <c r="M13" s="344"/>
    </row>
    <row r="14" spans="1:25" ht="18.75">
      <c r="A14" s="542" t="s">
        <v>7019</v>
      </c>
      <c r="B14" s="366" t="s">
        <v>5139</v>
      </c>
      <c r="C14" s="226">
        <v>792</v>
      </c>
      <c r="D14" s="369">
        <v>262448</v>
      </c>
      <c r="E14" s="543" t="s">
        <v>4134</v>
      </c>
      <c r="F14" s="544">
        <v>2101</v>
      </c>
      <c r="G14" s="301">
        <f t="shared" si="4"/>
        <v>97707.79180165063</v>
      </c>
      <c r="H14" s="499">
        <f t="shared" si="5"/>
        <v>0.37696335078534032</v>
      </c>
      <c r="I14" s="545">
        <f t="shared" si="8"/>
        <v>0.40434326573884011</v>
      </c>
      <c r="J14" s="499">
        <f t="shared" ref="J14" si="21">I14/H14</f>
        <v>1.0726328299460897</v>
      </c>
      <c r="K14" s="546">
        <f t="shared" ref="K14" si="22">(1/J14-1.0256)*100</f>
        <v>-9.3314531868039392</v>
      </c>
      <c r="L14" s="491"/>
      <c r="M14" s="344"/>
      <c r="U14" s="480"/>
      <c r="Y14" t="s">
        <v>25</v>
      </c>
    </row>
    <row r="15" spans="1:25" ht="18.75">
      <c r="A15" s="542" t="s">
        <v>7020</v>
      </c>
      <c r="B15" s="366" t="s">
        <v>5139</v>
      </c>
      <c r="C15" s="226">
        <v>795</v>
      </c>
      <c r="D15" s="369">
        <v>291252</v>
      </c>
      <c r="E15" s="543" t="s">
        <v>4134</v>
      </c>
      <c r="F15" s="544">
        <v>2036.7</v>
      </c>
      <c r="G15" s="301">
        <f t="shared" si="4"/>
        <v>112278.28830928204</v>
      </c>
      <c r="H15" s="499">
        <f t="shared" si="5"/>
        <v>0.39033731035498598</v>
      </c>
      <c r="I15" s="545">
        <f t="shared" si="8"/>
        <v>0.40434326573884011</v>
      </c>
      <c r="J15" s="499">
        <f t="shared" ref="J15" si="23">I15/H15</f>
        <v>1.0358816721135795</v>
      </c>
      <c r="K15" s="546">
        <f t="shared" ref="K15" si="24">(1/J15-1.0256)*100</f>
        <v>-6.0238774948462748</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7022</v>
      </c>
      <c r="B17" s="225" t="s">
        <v>4134</v>
      </c>
      <c r="C17" s="224">
        <v>1870</v>
      </c>
      <c r="D17" s="301">
        <v>329.75</v>
      </c>
      <c r="E17" s="559" t="s">
        <v>5594</v>
      </c>
      <c r="F17" s="560">
        <v>121.8</v>
      </c>
      <c r="G17" s="333">
        <f>C17*D17*0.9912/(F17*1.003631981)</f>
        <v>4999.9530242357723</v>
      </c>
      <c r="H17" s="561">
        <f>C17/F17</f>
        <v>15.353037766830871</v>
      </c>
      <c r="I17" s="562">
        <f>$O$32/$O$31</f>
        <v>15.388059701492537</v>
      </c>
      <c r="J17" s="561">
        <f>I17/H17</f>
        <v>1.0022811078298346</v>
      </c>
      <c r="K17" s="563">
        <f t="shared" ref="K17" si="25">(1/J17-1.0256)*100</f>
        <v>-2.7875916219526231</v>
      </c>
      <c r="L17" s="491"/>
      <c r="M17" s="344"/>
      <c r="N17" t="s">
        <v>25</v>
      </c>
      <c r="P17" s="329">
        <v>785912</v>
      </c>
      <c r="Q17" s="329">
        <v>65311000</v>
      </c>
      <c r="U17">
        <v>11211</v>
      </c>
      <c r="V17">
        <f>U17*Q17/P17</f>
        <v>931658.53301641915</v>
      </c>
    </row>
    <row r="18" spans="1:28" ht="18.75">
      <c r="A18" s="571" t="s">
        <v>7041</v>
      </c>
      <c r="B18" s="225" t="s">
        <v>4134</v>
      </c>
      <c r="C18" s="224">
        <v>2096</v>
      </c>
      <c r="D18" s="301">
        <v>307.25</v>
      </c>
      <c r="E18" s="435" t="s">
        <v>5594</v>
      </c>
      <c r="F18" s="436">
        <v>127.2</v>
      </c>
      <c r="G18" s="482">
        <f>C18*D18*0.9912/(F18*1.003631981)</f>
        <v>5000.148010259737</v>
      </c>
      <c r="H18" s="437">
        <f>C18/F18</f>
        <v>16.477987421383649</v>
      </c>
      <c r="I18" s="481">
        <f>$O$32/$O$31</f>
        <v>15.388059701492537</v>
      </c>
      <c r="J18" s="437">
        <f>I18/H18</f>
        <v>0.93385553150279133</v>
      </c>
      <c r="K18" s="438">
        <f t="shared" ref="K18" si="26">(1/J18-1.0256)*100</f>
        <v>4.5229444454611523</v>
      </c>
      <c r="L18" s="491"/>
      <c r="M18" s="344"/>
      <c r="P18" s="329">
        <f>P17*Q18/Q17</f>
        <v>12033.378757024086</v>
      </c>
      <c r="Q18" s="329">
        <v>1000000</v>
      </c>
      <c r="U18" s="365"/>
      <c r="V18" s="365"/>
      <c r="W18" s="509"/>
      <c r="Y18" t="s">
        <v>25</v>
      </c>
    </row>
    <row r="19" spans="1:28" ht="21">
      <c r="A19" s="580" t="s">
        <v>7061</v>
      </c>
      <c r="B19" s="225" t="s">
        <v>4134</v>
      </c>
      <c r="C19" s="224">
        <v>2126</v>
      </c>
      <c r="D19" s="301">
        <v>242</v>
      </c>
      <c r="E19" s="435" t="s">
        <v>5594</v>
      </c>
      <c r="F19" s="436">
        <v>132.69999999999999</v>
      </c>
      <c r="G19" s="482">
        <f>C19*D19*0.9912/(F19*1.003631981)</f>
        <v>3829.0805717842354</v>
      </c>
      <c r="H19" s="437">
        <f>C19/F19</f>
        <v>16.021100226073852</v>
      </c>
      <c r="I19" s="481">
        <f>$O$32/$O$31</f>
        <v>15.388059701492537</v>
      </c>
      <c r="J19" s="437">
        <f>I19/H19</f>
        <v>0.96048707544123213</v>
      </c>
      <c r="K19" s="438">
        <f t="shared" ref="K19" si="27">(1/J19-1.0256)*100</f>
        <v>1.5538424002859319</v>
      </c>
      <c r="L19" s="491"/>
      <c r="M19" s="344"/>
      <c r="N19" s="331" t="s">
        <v>7062</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7008</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7025</v>
      </c>
      <c r="H21" s="437" t="s">
        <v>7026</v>
      </c>
      <c r="I21" s="481" t="s">
        <v>7060</v>
      </c>
      <c r="J21" s="589" t="s">
        <v>7027</v>
      </c>
      <c r="K21" s="438" t="s">
        <v>840</v>
      </c>
      <c r="L21" s="491"/>
      <c r="M21" s="344"/>
      <c r="N21" s="486" t="s">
        <v>7034</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7022</v>
      </c>
      <c r="B22" s="225" t="s">
        <v>4134</v>
      </c>
      <c r="C22" s="224">
        <v>1870</v>
      </c>
      <c r="D22" s="582">
        <f>14849.993073*G22/25</f>
        <v>15443.992795919999</v>
      </c>
      <c r="E22" s="189" t="s">
        <v>7023</v>
      </c>
      <c r="F22" s="190">
        <v>8.9</v>
      </c>
      <c r="G22" s="554">
        <v>26</v>
      </c>
      <c r="H22" s="582">
        <f t="shared" ref="H22:H26" si="28">C22*D22*0.9912/G22</f>
        <v>1101004.6224200283</v>
      </c>
      <c r="I22" s="544">
        <f>(F22+G22)*H22</f>
        <v>38425061.32245899</v>
      </c>
      <c r="J22" s="437">
        <f>(I22-H22*$O$28)/($O$32*1.003631981)</f>
        <v>18035.396220089504</v>
      </c>
      <c r="K22" s="438">
        <f t="shared" ref="K22:K66" si="29">(J22-D22)*100/D22</f>
        <v>16.779361777830552</v>
      </c>
      <c r="L22" s="491">
        <f>D22*K22/100</f>
        <v>2591.4034241695044</v>
      </c>
      <c r="M22" s="344">
        <f>H22*$O$28</f>
        <v>1101004.6224200283</v>
      </c>
      <c r="N22" s="486" t="s">
        <v>7032</v>
      </c>
      <c r="O22" s="487">
        <v>30</v>
      </c>
      <c r="P22" s="576">
        <f>P21*1000/H32*D32</f>
        <v>107000.76705543132</v>
      </c>
      <c r="Q22" s="65">
        <f>Q21*1000/H34*188309</f>
        <v>71858.618745782922</v>
      </c>
      <c r="S22" s="480"/>
      <c r="T22" s="480"/>
      <c r="V22" s="365"/>
      <c r="Y22" s="527"/>
      <c r="Z22" s="453"/>
      <c r="AA22" s="453"/>
      <c r="AB22" s="453"/>
    </row>
    <row r="23" spans="1:28" ht="21">
      <c r="A23" s="580" t="s">
        <v>7061</v>
      </c>
      <c r="B23" s="225" t="s">
        <v>4134</v>
      </c>
      <c r="C23" s="224">
        <v>2126</v>
      </c>
      <c r="D23" s="301">
        <f>5500.9*G23/24</f>
        <v>5959.3083333333334</v>
      </c>
      <c r="E23" s="189" t="s">
        <v>7023</v>
      </c>
      <c r="F23" s="190">
        <v>3.73</v>
      </c>
      <c r="G23" s="554">
        <v>26</v>
      </c>
      <c r="H23" s="301">
        <f t="shared" ref="H23" si="30">C23*D23*0.9912/G23</f>
        <v>482999.92342000001</v>
      </c>
      <c r="I23" s="544">
        <f>(F23+G23)*H23</f>
        <v>14359587.7232766</v>
      </c>
      <c r="J23" s="437">
        <f>(I23-H23*$O$28)/($O$32*1.003631981)</f>
        <v>6705.3204094241073</v>
      </c>
      <c r="K23" s="438">
        <f t="shared" ref="K23" si="31">(J23-D23)*100/D23</f>
        <v>12.518433924923176</v>
      </c>
      <c r="L23" s="491">
        <f t="shared" ref="L23" si="32">D23*K23/100</f>
        <v>746.01207609077392</v>
      </c>
      <c r="M23" s="344">
        <f t="shared" ref="M23:M24" si="33">H23*$O$28</f>
        <v>482999.92342000001</v>
      </c>
      <c r="N23" s="486" t="s">
        <v>7031</v>
      </c>
      <c r="O23" s="487">
        <v>20</v>
      </c>
      <c r="P23" s="577">
        <f>P22+Q22</f>
        <v>178859.38580121426</v>
      </c>
      <c r="Q23" s="578"/>
      <c r="S23" s="351">
        <v>63932.799498746863</v>
      </c>
      <c r="T23" s="351">
        <f>S23*O32*1.003632/(O38*0.9912)</f>
        <v>8140.1931007684843</v>
      </c>
      <c r="U23" s="354" t="s">
        <v>4716</v>
      </c>
      <c r="V23" s="354"/>
      <c r="W23" s="354"/>
      <c r="Y23" s="453"/>
      <c r="Z23" s="453"/>
      <c r="AA23" s="453"/>
      <c r="AB23" s="453"/>
    </row>
    <row r="24" spans="1:28" ht="21">
      <c r="A24" s="580" t="s">
        <v>7063</v>
      </c>
      <c r="B24" s="225" t="s">
        <v>4134</v>
      </c>
      <c r="C24" s="224">
        <v>2126</v>
      </c>
      <c r="D24" s="301">
        <f>1480.57*G24/24</f>
        <v>1603.9508333333333</v>
      </c>
      <c r="E24" s="189" t="s">
        <v>7023</v>
      </c>
      <c r="F24" s="190">
        <v>3.6</v>
      </c>
      <c r="G24" s="554">
        <v>26</v>
      </c>
      <c r="H24" s="301">
        <f t="shared" ref="H24" si="34">C24*D24*0.9912/G24</f>
        <v>129999.67216599999</v>
      </c>
      <c r="I24" s="544">
        <f>(F24+G24)*H24</f>
        <v>3847990.2961136</v>
      </c>
      <c r="J24" s="437">
        <f>(I24-H24*$O$28)/($O$32*1.003631981)</f>
        <v>1796.57411262594</v>
      </c>
      <c r="K24" s="438">
        <f t="shared" ref="K24" si="35">(J24-D24)*100/D24</f>
        <v>12.009300739742541</v>
      </c>
      <c r="L24" s="491">
        <f t="shared" ref="L24" si="36">D24*K24/100</f>
        <v>192.62327929260664</v>
      </c>
      <c r="M24" s="344">
        <f t="shared" si="33"/>
        <v>129999.67216599999</v>
      </c>
      <c r="N24" s="486" t="s">
        <v>7030</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7072</v>
      </c>
      <c r="B25" s="225" t="s">
        <v>4134</v>
      </c>
      <c r="C25" s="224">
        <v>2126</v>
      </c>
      <c r="D25" s="301">
        <f>2467.62*G25/26</f>
        <v>2467.62</v>
      </c>
      <c r="E25" s="189" t="s">
        <v>7023</v>
      </c>
      <c r="F25" s="190">
        <v>3.75</v>
      </c>
      <c r="G25" s="554">
        <v>26</v>
      </c>
      <c r="H25" s="301">
        <f t="shared" ref="H25" si="37">C25*D25*0.9912/G25</f>
        <v>199999.76580553845</v>
      </c>
      <c r="I25" s="544">
        <f>(F25+G25)*H25</f>
        <v>5949993.0327147692</v>
      </c>
      <c r="J25" s="437">
        <f>(I25-H25*$O$28)/($O$32*1.003631981)</f>
        <v>2778.4602211111364</v>
      </c>
      <c r="K25" s="438">
        <f t="shared" ref="K25" si="38">(J25-D25)*100/D25</f>
        <v>12.596762107258677</v>
      </c>
      <c r="L25" s="491">
        <f t="shared" ref="L25" si="39">D25*K25/100</f>
        <v>310.84022111113654</v>
      </c>
      <c r="M25" s="344">
        <f t="shared" ref="M25" si="40">H25*$O$28</f>
        <v>199999.76580553845</v>
      </c>
      <c r="N25" s="486" t="s">
        <v>7029</v>
      </c>
      <c r="O25" s="487">
        <v>11</v>
      </c>
      <c r="P25" s="65">
        <v>152209</v>
      </c>
      <c r="Q25" s="65"/>
      <c r="R25" s="575" t="s">
        <v>869</v>
      </c>
      <c r="S25" s="63">
        <v>21074</v>
      </c>
      <c r="T25" s="63">
        <f>S25/0.9912</f>
        <v>21261.097659402745</v>
      </c>
    </row>
    <row r="26" spans="1:28" ht="21">
      <c r="A26" s="229" t="s">
        <v>7022</v>
      </c>
      <c r="B26" s="225" t="s">
        <v>4134</v>
      </c>
      <c r="C26" s="224">
        <v>1870</v>
      </c>
      <c r="D26" s="582">
        <v>5870.37</v>
      </c>
      <c r="E26" s="551" t="s">
        <v>7024</v>
      </c>
      <c r="F26" s="552">
        <v>19</v>
      </c>
      <c r="G26" s="553">
        <v>27</v>
      </c>
      <c r="H26" s="582">
        <f t="shared" si="28"/>
        <v>402999.59597333334</v>
      </c>
      <c r="I26" s="544">
        <f t="shared" ref="I26:I56" si="41">(F26+G26)*H26</f>
        <v>18537981.414773334</v>
      </c>
      <c r="J26" s="437">
        <f>(I26-H26*$O$27)/($O$32*1.003631981)</f>
        <v>7010.418726447514</v>
      </c>
      <c r="K26" s="438">
        <f t="shared" si="29"/>
        <v>19.420389625313469</v>
      </c>
      <c r="L26" s="491">
        <f t="shared" ref="L26:L66" si="42">D26*K26/100</f>
        <v>1140.0487264475141</v>
      </c>
      <c r="M26" s="344">
        <f>H26*$O$27</f>
        <v>4029995.9597333334</v>
      </c>
      <c r="N26" s="486" t="s">
        <v>7028</v>
      </c>
      <c r="O26" s="487">
        <v>5.4</v>
      </c>
      <c r="P26" s="576">
        <f>P23-P25</f>
        <v>26650.385801214259</v>
      </c>
      <c r="Q26" s="65"/>
      <c r="R26" s="575" t="s">
        <v>61</v>
      </c>
      <c r="S26" s="63">
        <v>19222</v>
      </c>
      <c r="T26" s="63">
        <f>S26/1.003631981</f>
        <v>19152.438706514273</v>
      </c>
      <c r="V26" s="549"/>
      <c r="W26" s="549"/>
      <c r="X26" s="549"/>
      <c r="Y26" s="549"/>
    </row>
    <row r="27" spans="1:28" ht="21">
      <c r="A27" s="229" t="s">
        <v>7036</v>
      </c>
      <c r="B27" s="225" t="s">
        <v>4134</v>
      </c>
      <c r="C27" s="224">
        <v>1812.2</v>
      </c>
      <c r="D27" s="301">
        <f>62663.79*G27/24</f>
        <v>67885.772500000006</v>
      </c>
      <c r="E27" s="566" t="s">
        <v>7028</v>
      </c>
      <c r="F27" s="555">
        <v>10.1</v>
      </c>
      <c r="G27" s="382">
        <v>26</v>
      </c>
      <c r="H27" s="573">
        <f t="shared" ref="H27" si="43">C27*D27*0.9912/G27</f>
        <v>4689999.9258294012</v>
      </c>
      <c r="I27" s="544">
        <f t="shared" ref="I27" si="44">(F27+G27)*H27</f>
        <v>169308997.3224414</v>
      </c>
      <c r="J27" s="437">
        <f t="shared" ref="J27:J33" si="45">(I27-H27*$O$26)/($O$32*1.003631981)</f>
        <v>69574.17393718526</v>
      </c>
      <c r="K27" s="438">
        <f t="shared" si="29"/>
        <v>2.4871211963968642</v>
      </c>
      <c r="L27" s="491">
        <f t="shared" si="42"/>
        <v>1688.4014371852536</v>
      </c>
      <c r="M27" s="344">
        <f>H27*$O$26</f>
        <v>25325999.59947877</v>
      </c>
      <c r="N27" s="486" t="s">
        <v>7024</v>
      </c>
      <c r="O27" s="487">
        <v>10</v>
      </c>
      <c r="R27" s="63" t="s">
        <v>6154</v>
      </c>
      <c r="S27" s="63">
        <v>14984</v>
      </c>
      <c r="T27" s="63">
        <f>S27*0.9912/1.003631981</f>
        <v>14798.393316643422</v>
      </c>
      <c r="V27" s="549"/>
      <c r="W27" s="549"/>
      <c r="X27" s="549"/>
      <c r="Y27" s="549"/>
    </row>
    <row r="28" spans="1:28" ht="21">
      <c r="A28" s="229" t="s">
        <v>7038</v>
      </c>
      <c r="B28" s="225" t="s">
        <v>4134</v>
      </c>
      <c r="C28" s="224">
        <v>2083</v>
      </c>
      <c r="D28" s="301">
        <f>217789.81*G28/24</f>
        <v>235938.96083333332</v>
      </c>
      <c r="E28" s="566" t="s">
        <v>7028</v>
      </c>
      <c r="F28" s="555">
        <v>8.1</v>
      </c>
      <c r="G28" s="382">
        <v>26</v>
      </c>
      <c r="H28" s="573">
        <f t="shared" ref="H28" si="46">C28*D28*0.9912/G28</f>
        <v>18735999.995698996</v>
      </c>
      <c r="I28" s="544">
        <f t="shared" ref="I28" si="47">(F28+G28)*H28</f>
        <v>638897599.85333574</v>
      </c>
      <c r="J28" s="437">
        <f t="shared" si="45"/>
        <v>259833.78614088433</v>
      </c>
      <c r="K28" s="438">
        <f t="shared" si="29"/>
        <v>10.127545371546441</v>
      </c>
      <c r="L28" s="491">
        <f t="shared" si="42"/>
        <v>23894.825307551018</v>
      </c>
      <c r="M28" s="344">
        <f t="shared" ref="M28:M33" si="48">H28*$O$26</f>
        <v>101174399.97677459</v>
      </c>
      <c r="N28" s="486" t="s">
        <v>7023</v>
      </c>
      <c r="O28" s="487">
        <v>1</v>
      </c>
      <c r="R28" s="63" t="s">
        <v>1004</v>
      </c>
      <c r="S28" s="63">
        <v>1155794</v>
      </c>
      <c r="T28" s="63">
        <f>S28/1.00125</f>
        <v>1154351.0611735331</v>
      </c>
      <c r="V28" s="549"/>
      <c r="W28" s="549"/>
      <c r="X28" s="549"/>
      <c r="Y28" s="549"/>
    </row>
    <row r="29" spans="1:28" ht="21">
      <c r="A29" s="229" t="s">
        <v>7039</v>
      </c>
      <c r="B29" s="225" t="s">
        <v>4134</v>
      </c>
      <c r="C29" s="224">
        <v>2083</v>
      </c>
      <c r="D29" s="301">
        <f>166097.28*G29/24</f>
        <v>179938.72</v>
      </c>
      <c r="E29" s="566" t="s">
        <v>7028</v>
      </c>
      <c r="F29" s="555">
        <v>8.25</v>
      </c>
      <c r="G29" s="382">
        <v>26</v>
      </c>
      <c r="H29" s="573">
        <f t="shared" ref="H29:H30" si="49">C29*D29*0.9912/G29</f>
        <v>14289000.194111999</v>
      </c>
      <c r="I29" s="544">
        <f t="shared" ref="I29:I30" si="50">(F29+G29)*H29</f>
        <v>489398256.64833599</v>
      </c>
      <c r="J29" s="437">
        <f t="shared" si="45"/>
        <v>199197.78590362618</v>
      </c>
      <c r="K29" s="438">
        <f t="shared" si="29"/>
        <v>10.703124876972659</v>
      </c>
      <c r="L29" s="491">
        <f t="shared" si="42"/>
        <v>19259.065903626179</v>
      </c>
      <c r="M29" s="344">
        <f t="shared" si="48"/>
        <v>77160601.048204795</v>
      </c>
      <c r="N29" s="488" t="s">
        <v>6905</v>
      </c>
      <c r="O29" s="489">
        <v>2020</v>
      </c>
    </row>
    <row r="30" spans="1:28" ht="21">
      <c r="A30" s="229" t="s">
        <v>7040</v>
      </c>
      <c r="B30" s="225" t="s">
        <v>4134</v>
      </c>
      <c r="C30" s="224">
        <v>2083</v>
      </c>
      <c r="D30" s="301">
        <f>90575.27*G30/24</f>
        <v>98123.209166666667</v>
      </c>
      <c r="E30" s="566" t="s">
        <v>7028</v>
      </c>
      <c r="F30" s="555">
        <v>8.5399999999999991</v>
      </c>
      <c r="G30" s="382">
        <v>26</v>
      </c>
      <c r="H30" s="573">
        <f t="shared" si="49"/>
        <v>7792000.270033</v>
      </c>
      <c r="I30" s="544">
        <f t="shared" si="50"/>
        <v>269135689.32693982</v>
      </c>
      <c r="J30" s="437">
        <f t="shared" si="45"/>
        <v>109717.36113565907</v>
      </c>
      <c r="K30" s="438">
        <f t="shared" si="29"/>
        <v>11.815911920796657</v>
      </c>
      <c r="L30" s="491">
        <f t="shared" si="42"/>
        <v>11594.151968992404</v>
      </c>
      <c r="M30" s="344">
        <f t="shared" si="48"/>
        <v>42076801.4581782</v>
      </c>
      <c r="N30" s="486" t="s">
        <v>6904</v>
      </c>
      <c r="O30" s="486">
        <v>303</v>
      </c>
    </row>
    <row r="31" spans="1:28" ht="21">
      <c r="A31" s="229" t="s">
        <v>7041</v>
      </c>
      <c r="B31" s="225" t="s">
        <v>4134</v>
      </c>
      <c r="C31" s="224">
        <v>2100</v>
      </c>
      <c r="D31" s="301">
        <f>14601.83*G31/26</f>
        <v>14601.83</v>
      </c>
      <c r="E31" s="566" t="s">
        <v>7028</v>
      </c>
      <c r="F31" s="555">
        <v>9</v>
      </c>
      <c r="G31" s="382">
        <v>26</v>
      </c>
      <c r="H31" s="573">
        <f t="shared" ref="H31" si="51">C31*D31*0.9912/G31</f>
        <v>1169000.045446154</v>
      </c>
      <c r="I31" s="544">
        <f t="shared" ref="I31" si="52">(F31+G31)*H31</f>
        <v>40915001.590615392</v>
      </c>
      <c r="J31" s="437">
        <f t="shared" si="45"/>
        <v>16720.2623081081</v>
      </c>
      <c r="K31" s="438">
        <f t="shared" si="29"/>
        <v>14.507991862034418</v>
      </c>
      <c r="L31" s="491">
        <f t="shared" si="42"/>
        <v>2118.4323081081002</v>
      </c>
      <c r="M31" s="344">
        <f t="shared" si="48"/>
        <v>6312600.2454092316</v>
      </c>
      <c r="N31" s="331" t="s">
        <v>5594</v>
      </c>
      <c r="O31" s="331">
        <v>134</v>
      </c>
      <c r="P31" s="549"/>
    </row>
    <row r="32" spans="1:28" ht="21">
      <c r="A32" s="571" t="s">
        <v>7041</v>
      </c>
      <c r="B32" s="225" t="s">
        <v>4134</v>
      </c>
      <c r="C32" s="224">
        <v>2096</v>
      </c>
      <c r="D32" s="301">
        <f>363740.04*G32/26</f>
        <v>363740.04</v>
      </c>
      <c r="E32" s="566" t="s">
        <v>7028</v>
      </c>
      <c r="F32" s="555">
        <v>8.74</v>
      </c>
      <c r="G32" s="382">
        <v>26</v>
      </c>
      <c r="H32" s="573">
        <f>C32*D32*0.9912/G32</f>
        <v>29065000.444238763</v>
      </c>
      <c r="I32" s="544">
        <f t="shared" ref="I32:I33" si="53">(F32+G32)*H32</f>
        <v>1009718115.4328547</v>
      </c>
      <c r="J32" s="437">
        <f t="shared" si="45"/>
        <v>412066.48276829359</v>
      </c>
      <c r="K32" s="481">
        <f t="shared" si="29"/>
        <v>13.28598379444111</v>
      </c>
      <c r="L32" s="491">
        <f t="shared" si="42"/>
        <v>48326.442768293608</v>
      </c>
      <c r="M32" s="344">
        <f t="shared" si="48"/>
        <v>156951002.39888933</v>
      </c>
      <c r="N32" s="302" t="s">
        <v>4134</v>
      </c>
      <c r="O32" s="522">
        <v>2062</v>
      </c>
      <c r="U32" t="s">
        <v>25</v>
      </c>
    </row>
    <row r="33" spans="1:22" ht="21">
      <c r="A33" s="229" t="s">
        <v>7053</v>
      </c>
      <c r="B33" s="225" t="s">
        <v>4134</v>
      </c>
      <c r="C33" s="224">
        <v>2134</v>
      </c>
      <c r="D33" s="301">
        <f>82508.64*G33/23</f>
        <v>93270.636521739143</v>
      </c>
      <c r="E33" s="566" t="s">
        <v>7028</v>
      </c>
      <c r="F33" s="555">
        <v>7.34</v>
      </c>
      <c r="G33" s="382">
        <v>26</v>
      </c>
      <c r="H33" s="573">
        <f>C33*D33*0.9912/G33</f>
        <v>7587999.6307700872</v>
      </c>
      <c r="I33" s="544">
        <f t="shared" si="53"/>
        <v>252983907.68987474</v>
      </c>
      <c r="J33" s="437">
        <f t="shared" si="45"/>
        <v>102444.948896773</v>
      </c>
      <c r="K33" s="481">
        <f t="shared" si="29"/>
        <v>9.8362279031896005</v>
      </c>
      <c r="L33" s="491">
        <f t="shared" si="42"/>
        <v>9174.3123750338564</v>
      </c>
      <c r="M33" s="344">
        <f t="shared" si="48"/>
        <v>40975198.006158471</v>
      </c>
      <c r="N33" s="303" t="s">
        <v>5139</v>
      </c>
      <c r="O33" s="540">
        <f>P33*(1+P3)</f>
        <v>833.75581395348831</v>
      </c>
      <c r="P33" s="540">
        <v>771</v>
      </c>
      <c r="Q33" s="549"/>
      <c r="R33" s="549"/>
      <c r="S33" s="549"/>
    </row>
    <row r="34" spans="1:22" ht="21">
      <c r="A34" s="571" t="s">
        <v>7041</v>
      </c>
      <c r="B34" s="225" t="s">
        <v>4134</v>
      </c>
      <c r="C34" s="224">
        <v>2096</v>
      </c>
      <c r="D34" s="301">
        <f>136297.7*G34/26</f>
        <v>141539.91923076924</v>
      </c>
      <c r="E34" s="568" t="s">
        <v>7029</v>
      </c>
      <c r="F34" s="344">
        <v>11.75</v>
      </c>
      <c r="G34" s="333">
        <v>27</v>
      </c>
      <c r="H34" s="574">
        <f t="shared" ref="H34" si="54">C34*D34*0.9912/G34</f>
        <v>10890999.822424615</v>
      </c>
      <c r="I34" s="544">
        <f t="shared" ref="I34" si="55">(F34+G34)*H34</f>
        <v>422026243.11895382</v>
      </c>
      <c r="J34" s="437">
        <f t="shared" ref="J34:J41" si="56">(I34-H34*$O$25)/($O$32*1.003631981)</f>
        <v>146038.5747025882</v>
      </c>
      <c r="K34" s="438">
        <f t="shared" si="29"/>
        <v>3.1783651539918352</v>
      </c>
      <c r="L34" s="491">
        <f t="shared" si="42"/>
        <v>4498.6554718189582</v>
      </c>
      <c r="M34" s="344">
        <f>H34*$O$25</f>
        <v>119800998.04667076</v>
      </c>
      <c r="N34" s="311" t="s">
        <v>4542</v>
      </c>
      <c r="O34" s="311">
        <v>440</v>
      </c>
      <c r="P34" s="549">
        <f>(O34*2085+(O34-100)*512)/2000</f>
        <v>545.74</v>
      </c>
      <c r="Q34" s="549"/>
      <c r="R34" s="549"/>
      <c r="S34" s="549"/>
    </row>
    <row r="35" spans="1:22" ht="21">
      <c r="A35" s="229" t="s">
        <v>7052</v>
      </c>
      <c r="B35" s="225" t="s">
        <v>4134</v>
      </c>
      <c r="C35" s="224">
        <v>2100</v>
      </c>
      <c r="D35" s="301">
        <f>274.8*G35/26</f>
        <v>285.3692307692308</v>
      </c>
      <c r="E35" s="568" t="s">
        <v>7029</v>
      </c>
      <c r="F35" s="344">
        <v>11.5</v>
      </c>
      <c r="G35" s="333">
        <v>27</v>
      </c>
      <c r="H35" s="574">
        <f t="shared" ref="H35" si="57">C35*D35*0.9912/G35</f>
        <v>22000.065230769229</v>
      </c>
      <c r="I35" s="544">
        <f t="shared" ref="I35" si="58">(F35+G35)*H35</f>
        <v>847002.51138461533</v>
      </c>
      <c r="J35" s="437">
        <f t="shared" si="56"/>
        <v>292.34354543966015</v>
      </c>
      <c r="K35" s="438">
        <f t="shared" si="29"/>
        <v>2.4439616883816258</v>
      </c>
      <c r="L35" s="491">
        <f t="shared" si="42"/>
        <v>6.9743146704293508</v>
      </c>
      <c r="M35" s="344">
        <f t="shared" ref="M35:M41" si="59">H35*$O$25</f>
        <v>242000.71753846153</v>
      </c>
      <c r="N35" s="312" t="s">
        <v>5592</v>
      </c>
      <c r="O35" s="312">
        <v>1867</v>
      </c>
      <c r="P35" s="549"/>
      <c r="Q35" s="549" t="s">
        <v>5281</v>
      </c>
      <c r="R35" s="549" t="s">
        <v>690</v>
      </c>
      <c r="S35" s="397" t="s">
        <v>1005</v>
      </c>
    </row>
    <row r="36" spans="1:22" ht="21">
      <c r="A36" s="571" t="s">
        <v>7051</v>
      </c>
      <c r="B36" s="225" t="s">
        <v>4134</v>
      </c>
      <c r="C36" s="224">
        <v>2133.6999999999998</v>
      </c>
      <c r="D36" s="301">
        <f>16399.65*G36/26</f>
        <v>17030.405769230772</v>
      </c>
      <c r="E36" s="568" t="s">
        <v>7029</v>
      </c>
      <c r="F36" s="344">
        <v>10.050000000000001</v>
      </c>
      <c r="G36" s="333">
        <v>27</v>
      </c>
      <c r="H36" s="574">
        <f t="shared" ref="H36" si="60">C36*D36*0.9912/G36</f>
        <v>1334000.1612613851</v>
      </c>
      <c r="I36" s="544">
        <f t="shared" ref="I36" si="61">(F36+G36)*H36</f>
        <v>49424705.974734314</v>
      </c>
      <c r="J36" s="437">
        <f t="shared" si="56"/>
        <v>16791.92388508423</v>
      </c>
      <c r="K36" s="438">
        <f t="shared" si="29"/>
        <v>-1.4003300178402847</v>
      </c>
      <c r="L36" s="491">
        <f t="shared" si="42"/>
        <v>-238.48188414654214</v>
      </c>
      <c r="M36" s="344">
        <f t="shared" si="59"/>
        <v>14674001.773875237</v>
      </c>
      <c r="N36" s="312" t="s">
        <v>6809</v>
      </c>
      <c r="O36" s="312">
        <v>18670</v>
      </c>
      <c r="P36" s="549"/>
      <c r="Q36" s="301">
        <v>2512</v>
      </c>
      <c r="R36" s="301">
        <v>502564</v>
      </c>
      <c r="S36" s="199"/>
      <c r="T36" s="549" t="s">
        <v>4542</v>
      </c>
    </row>
    <row r="37" spans="1:22" ht="23.25">
      <c r="A37" s="580" t="s">
        <v>7053</v>
      </c>
      <c r="B37" s="225" t="s">
        <v>4134</v>
      </c>
      <c r="C37" s="224">
        <v>2126.1</v>
      </c>
      <c r="D37" s="301">
        <f>73740.49*G37/28</f>
        <v>71106.901071428583</v>
      </c>
      <c r="E37" s="568" t="s">
        <v>7029</v>
      </c>
      <c r="F37" s="344">
        <v>10.15</v>
      </c>
      <c r="G37" s="333">
        <v>27</v>
      </c>
      <c r="H37" s="574">
        <f t="shared" ref="H37" si="62">C37*D37*0.9912/G37</f>
        <v>5549999.8149306001</v>
      </c>
      <c r="I37" s="544">
        <f t="shared" ref="I37" si="63">(F37+G37)*H37</f>
        <v>206182493.12467179</v>
      </c>
      <c r="J37" s="437">
        <f t="shared" si="56"/>
        <v>70129.623788347177</v>
      </c>
      <c r="K37" s="438">
        <f t="shared" si="29"/>
        <v>-1.3743775475459239</v>
      </c>
      <c r="L37" s="491">
        <f t="shared" si="42"/>
        <v>-977.27728308140649</v>
      </c>
      <c r="M37" s="344">
        <f t="shared" si="59"/>
        <v>61049997.964236602</v>
      </c>
      <c r="N37" s="310" t="s">
        <v>6826</v>
      </c>
      <c r="O37" s="523">
        <v>14635</v>
      </c>
      <c r="P37" s="549"/>
      <c r="Q37" s="301">
        <v>6582</v>
      </c>
      <c r="R37" s="301">
        <v>0</v>
      </c>
      <c r="S37" s="199"/>
      <c r="T37" s="549" t="s">
        <v>4716</v>
      </c>
    </row>
    <row r="38" spans="1:22" ht="21">
      <c r="A38" s="580" t="s">
        <v>7061</v>
      </c>
      <c r="B38" s="225" t="s">
        <v>4134</v>
      </c>
      <c r="C38" s="224">
        <v>2126</v>
      </c>
      <c r="D38" s="301">
        <f>653.44*G38/27</f>
        <v>653.44000000000005</v>
      </c>
      <c r="E38" s="568" t="s">
        <v>7029</v>
      </c>
      <c r="F38" s="344">
        <v>10.5</v>
      </c>
      <c r="G38" s="333">
        <v>27</v>
      </c>
      <c r="H38" s="574">
        <f t="shared" ref="H38" si="64">C38*D38*0.9912/G38</f>
        <v>50999.568952888898</v>
      </c>
      <c r="I38" s="544">
        <f t="shared" ref="I38" si="65">(F38+G38)*H38</f>
        <v>1912483.8357333336</v>
      </c>
      <c r="J38" s="437">
        <f t="shared" si="56"/>
        <v>653.05419969612808</v>
      </c>
      <c r="K38" s="438">
        <f t="shared" ref="K38" si="66">(J38-D38)*100/D38</f>
        <v>-5.9041427502444656E-2</v>
      </c>
      <c r="L38" s="491">
        <f t="shared" ref="L38" si="67">D38*K38/100</f>
        <v>-0.38580030387197439</v>
      </c>
      <c r="M38" s="344">
        <f t="shared" si="59"/>
        <v>560995.25848177786</v>
      </c>
      <c r="N38" s="312" t="s">
        <v>4716</v>
      </c>
      <c r="O38" s="312">
        <v>16398</v>
      </c>
      <c r="P38" s="549"/>
      <c r="Q38" s="301">
        <v>818296</v>
      </c>
      <c r="R38" s="301">
        <v>4203986</v>
      </c>
      <c r="S38" s="199">
        <v>508182</v>
      </c>
      <c r="T38" s="549" t="s">
        <v>4134</v>
      </c>
      <c r="U38" s="355"/>
      <c r="V38" s="453"/>
    </row>
    <row r="39" spans="1:22" ht="21">
      <c r="A39" s="580" t="s">
        <v>7063</v>
      </c>
      <c r="B39" s="225" t="s">
        <v>4134</v>
      </c>
      <c r="C39" s="224">
        <v>2126</v>
      </c>
      <c r="D39" s="301">
        <f>1537.52*G39/27</f>
        <v>1537.52</v>
      </c>
      <c r="E39" s="568" t="s">
        <v>7029</v>
      </c>
      <c r="F39" s="344">
        <v>10.6</v>
      </c>
      <c r="G39" s="333">
        <v>27</v>
      </c>
      <c r="H39" s="574">
        <f t="shared" ref="H39" si="68">C39*D39*0.9912/G39</f>
        <v>120000.0876231111</v>
      </c>
      <c r="I39" s="544">
        <f t="shared" ref="I39" si="69">(F39+G39)*H39</f>
        <v>4512003.2946289778</v>
      </c>
      <c r="J39" s="437">
        <f t="shared" ref="J39" si="70">(I39-H39*$O$25)/($O$32*1.003631981)</f>
        <v>1542.4107629466714</v>
      </c>
      <c r="K39" s="438">
        <f t="shared" ref="K39" si="71">(J39-D39)*100/D39</f>
        <v>0.31809426522396</v>
      </c>
      <c r="L39" s="491">
        <f t="shared" ref="L39" si="72">D39*K39/100</f>
        <v>4.8907629466714297</v>
      </c>
      <c r="M39" s="344">
        <f t="shared" si="59"/>
        <v>1320000.9638542221</v>
      </c>
      <c r="N39" s="312" t="s">
        <v>6829</v>
      </c>
      <c r="O39" s="312">
        <v>15500</v>
      </c>
      <c r="P39" s="549"/>
      <c r="Q39" s="301"/>
      <c r="R39" s="301"/>
      <c r="S39" s="199"/>
      <c r="U39" s="355"/>
      <c r="V39" s="453"/>
    </row>
    <row r="40" spans="1:22" ht="18.75">
      <c r="A40" s="580" t="s">
        <v>7072</v>
      </c>
      <c r="B40" s="225" t="s">
        <v>4134</v>
      </c>
      <c r="C40" s="224">
        <v>2126</v>
      </c>
      <c r="D40" s="301">
        <f>4586.93*G40/27</f>
        <v>4586.93</v>
      </c>
      <c r="E40" s="568" t="s">
        <v>7029</v>
      </c>
      <c r="F40" s="344">
        <v>11.2</v>
      </c>
      <c r="G40" s="333">
        <v>27</v>
      </c>
      <c r="H40" s="574">
        <f t="shared" ref="H40" si="73">C40*D40*0.9912/G40</f>
        <v>357999.89718577778</v>
      </c>
      <c r="I40" s="544">
        <f t="shared" ref="I40" si="74">(F40+G40)*H40</f>
        <v>13675596.072496712</v>
      </c>
      <c r="J40" s="437">
        <f t="shared" ref="J40" si="75">(I40-H40*$O$25)/($O$32*1.003631981)</f>
        <v>4705.3144626620897</v>
      </c>
      <c r="K40" s="438">
        <f t="shared" ref="K40" si="76">(J40-D40)*100/D40</f>
        <v>2.5809084215823956</v>
      </c>
      <c r="L40" s="491">
        <f t="shared" ref="L40" si="77">D40*K40/100</f>
        <v>118.38446266208939</v>
      </c>
      <c r="M40" s="344">
        <f t="shared" ref="M40" si="78">H40*$O$25</f>
        <v>3937998.8690435556</v>
      </c>
      <c r="Q40" s="301">
        <v>220000</v>
      </c>
      <c r="R40" s="301">
        <v>3602000</v>
      </c>
      <c r="S40" s="199">
        <v>409887</v>
      </c>
      <c r="U40" s="355"/>
      <c r="V40" s="453"/>
    </row>
    <row r="41" spans="1:22" ht="18.75" customHeight="1">
      <c r="A41" s="229" t="s">
        <v>7053</v>
      </c>
      <c r="B41" s="225" t="s">
        <v>4134</v>
      </c>
      <c r="C41" s="224">
        <v>2134</v>
      </c>
      <c r="D41" s="301">
        <f>1323.74*G41/28</f>
        <v>1276.4635714285716</v>
      </c>
      <c r="E41" s="568" t="s">
        <v>7029</v>
      </c>
      <c r="F41" s="344">
        <v>10.42</v>
      </c>
      <c r="G41" s="333">
        <v>27</v>
      </c>
      <c r="H41" s="574">
        <f t="shared" ref="H41" si="79">C41*D41*0.9912/G41</f>
        <v>100000.085064</v>
      </c>
      <c r="I41" s="544">
        <f t="shared" ref="I41" si="80">(F41+G41)*H41</f>
        <v>3742003.1830948801</v>
      </c>
      <c r="J41" s="437">
        <f t="shared" si="56"/>
        <v>1276.6446511697566</v>
      </c>
      <c r="K41" s="438">
        <f t="shared" si="29"/>
        <v>1.4186048488816088E-2</v>
      </c>
      <c r="L41" s="491">
        <f t="shared" si="42"/>
        <v>0.18107974118493075</v>
      </c>
      <c r="M41" s="344">
        <f t="shared" si="59"/>
        <v>1100000.9357040001</v>
      </c>
      <c r="Q41" s="355">
        <f t="shared" ref="Q41:R41" si="81">Q38-Q40</f>
        <v>598296</v>
      </c>
      <c r="R41" s="355">
        <f t="shared" si="81"/>
        <v>601986</v>
      </c>
      <c r="S41" s="355">
        <f>S38-S40</f>
        <v>98295</v>
      </c>
      <c r="T41" s="355"/>
      <c r="U41" s="355"/>
      <c r="V41" s="453"/>
    </row>
    <row r="42" spans="1:22" ht="21.75" customHeight="1">
      <c r="A42" s="229" t="s">
        <v>7033</v>
      </c>
      <c r="B42" s="225" t="s">
        <v>4134</v>
      </c>
      <c r="C42" s="224">
        <v>1818</v>
      </c>
      <c r="D42" s="301">
        <f>1997.78*G42/24</f>
        <v>2247.5025000000001</v>
      </c>
      <c r="E42" s="556" t="s">
        <v>7030</v>
      </c>
      <c r="F42" s="557">
        <v>30.4</v>
      </c>
      <c r="G42" s="558">
        <v>27</v>
      </c>
      <c r="H42" s="301">
        <f t="shared" ref="H42:H56" si="82">C42*D42*0.9912/G42</f>
        <v>150000.114852</v>
      </c>
      <c r="I42" s="544">
        <f t="shared" si="41"/>
        <v>8610006.5925047994</v>
      </c>
      <c r="J42" s="437">
        <f t="shared" ref="J42:J47" si="83">(I42-H42*$O$24)/($O$32*1.003631981)</f>
        <v>3073.2245615484167</v>
      </c>
      <c r="K42" s="438">
        <f t="shared" si="29"/>
        <v>36.73953917953002</v>
      </c>
      <c r="L42" s="491">
        <f t="shared" si="42"/>
        <v>825.72206154841672</v>
      </c>
      <c r="M42" s="344">
        <f>H42*$O$24</f>
        <v>2250001.72278</v>
      </c>
      <c r="N42" s="550" t="s">
        <v>25</v>
      </c>
      <c r="O42" s="550"/>
      <c r="P42" s="301">
        <f>Q38+R38+S38-R40-Q40-S40</f>
        <v>1298577</v>
      </c>
      <c r="Q42" s="301">
        <f>SUM(J22:J66)</f>
        <v>1619429.0494386137</v>
      </c>
      <c r="R42" s="355"/>
      <c r="V42" s="453"/>
    </row>
    <row r="43" spans="1:22" ht="18.75">
      <c r="A43" s="229" t="s">
        <v>7035</v>
      </c>
      <c r="B43" s="225" t="s">
        <v>4134</v>
      </c>
      <c r="C43" s="224">
        <v>1806</v>
      </c>
      <c r="D43" s="301">
        <f>268.141*G43/24</f>
        <v>301.65862500000003</v>
      </c>
      <c r="E43" s="556" t="s">
        <v>7030</v>
      </c>
      <c r="F43" s="557">
        <v>28</v>
      </c>
      <c r="G43" s="558">
        <v>27</v>
      </c>
      <c r="H43" s="301">
        <f t="shared" ref="H43" si="84">C43*D43*0.9912/G43</f>
        <v>20000.047279800001</v>
      </c>
      <c r="I43" s="544">
        <f t="shared" ref="I43" si="85">(F43+G43)*H43</f>
        <v>1100002.600389</v>
      </c>
      <c r="J43" s="437">
        <f t="shared" si="83"/>
        <v>386.56974509562332</v>
      </c>
      <c r="K43" s="438">
        <f t="shared" si="29"/>
        <v>28.148082984739215</v>
      </c>
      <c r="L43" s="491">
        <f t="shared" si="42"/>
        <v>84.911120095623289</v>
      </c>
      <c r="M43" s="344">
        <f t="shared" ref="M43:M48" si="86">H43*$O$24</f>
        <v>300000.70919700002</v>
      </c>
      <c r="N43" s="550"/>
      <c r="O43" s="550"/>
      <c r="P43" s="301"/>
      <c r="Q43" s="301">
        <f>P42-Q42</f>
        <v>-320852.0494386137</v>
      </c>
      <c r="R43" s="355"/>
      <c r="S43" s="355"/>
      <c r="V43" s="453" t="s">
        <v>25</v>
      </c>
    </row>
    <row r="44" spans="1:22" ht="18.75" customHeight="1">
      <c r="A44" s="229" t="s">
        <v>7037</v>
      </c>
      <c r="B44" s="225" t="s">
        <v>4134</v>
      </c>
      <c r="C44" s="224">
        <v>1870</v>
      </c>
      <c r="D44" s="301">
        <f>51.79*G44/24</f>
        <v>58.263749999999995</v>
      </c>
      <c r="E44" s="556" t="s">
        <v>7030</v>
      </c>
      <c r="F44" s="557">
        <v>20</v>
      </c>
      <c r="G44" s="558">
        <v>27</v>
      </c>
      <c r="H44" s="301">
        <f t="shared" ref="H44:H45" si="87">C44*D44*0.9912/G44</f>
        <v>3999.7934899999996</v>
      </c>
      <c r="I44" s="544">
        <f t="shared" ref="I44" si="88">(F44+G44)*H44</f>
        <v>187990.29402999999</v>
      </c>
      <c r="J44" s="437">
        <f t="shared" si="83"/>
        <v>61.847819786949842</v>
      </c>
      <c r="K44" s="438">
        <f t="shared" si="29"/>
        <v>6.1514574447230856</v>
      </c>
      <c r="L44" s="491">
        <f t="shared" si="42"/>
        <v>3.5840697869498466</v>
      </c>
      <c r="M44" s="344">
        <f t="shared" si="86"/>
        <v>59996.902349999997</v>
      </c>
      <c r="N44" s="550"/>
      <c r="O44" s="550"/>
      <c r="P44" s="550"/>
      <c r="Q44" s="550"/>
      <c r="R44" s="355"/>
      <c r="S44" s="355"/>
      <c r="V44" s="453"/>
    </row>
    <row r="45" spans="1:22" ht="20.25" customHeight="1">
      <c r="A45" s="229" t="s">
        <v>7040</v>
      </c>
      <c r="B45" s="225" t="s">
        <v>4134</v>
      </c>
      <c r="C45" s="224">
        <v>2083</v>
      </c>
      <c r="D45" s="301">
        <f>895.06*G45/24</f>
        <v>1006.9425</v>
      </c>
      <c r="E45" s="556" t="s">
        <v>7030</v>
      </c>
      <c r="F45" s="557">
        <v>17.399999999999999</v>
      </c>
      <c r="G45" s="558">
        <v>27</v>
      </c>
      <c r="H45" s="301">
        <f t="shared" si="87"/>
        <v>77000.132173999998</v>
      </c>
      <c r="I45" s="544">
        <f>(F45+G45)*H45</f>
        <v>3418805.8685255996</v>
      </c>
      <c r="J45" s="437">
        <f t="shared" si="83"/>
        <v>1093.8950279491864</v>
      </c>
      <c r="K45" s="438">
        <f t="shared" si="29"/>
        <v>8.6353022093303675</v>
      </c>
      <c r="L45" s="491">
        <f t="shared" si="42"/>
        <v>86.952527949186447</v>
      </c>
      <c r="M45" s="344">
        <f t="shared" si="86"/>
        <v>1155001.9826100001</v>
      </c>
      <c r="N45" s="550"/>
      <c r="O45" s="550" t="s">
        <v>25</v>
      </c>
      <c r="P45" s="1">
        <f>SUM(M22:M66)</f>
        <v>864334609.43889582</v>
      </c>
      <c r="Q45" s="354" t="s">
        <v>7064</v>
      </c>
      <c r="R45" s="355"/>
      <c r="S45" s="355"/>
      <c r="T45" s="335"/>
      <c r="V45" s="453"/>
    </row>
    <row r="46" spans="1:22" ht="18.75">
      <c r="A46" s="571" t="s">
        <v>7041</v>
      </c>
      <c r="B46" s="225" t="s">
        <v>4134</v>
      </c>
      <c r="C46" s="224">
        <v>2096</v>
      </c>
      <c r="D46" s="301">
        <f>135646.94*G46/26</f>
        <v>140864.13</v>
      </c>
      <c r="E46" s="556" t="s">
        <v>7030</v>
      </c>
      <c r="F46" s="557">
        <v>15</v>
      </c>
      <c r="G46" s="558">
        <v>27</v>
      </c>
      <c r="H46" s="301">
        <f t="shared" ref="H46" si="89">C46*D46*0.9912/G46</f>
        <v>10839000.213888001</v>
      </c>
      <c r="I46" s="544">
        <f>(F46+G46)*H46</f>
        <v>455238008.98329604</v>
      </c>
      <c r="J46" s="437">
        <f t="shared" si="83"/>
        <v>141413.16300557234</v>
      </c>
      <c r="K46" s="438">
        <f t="shared" si="29"/>
        <v>0.38976069037045241</v>
      </c>
      <c r="L46" s="491">
        <f t="shared" si="42"/>
        <v>549.0330055723316</v>
      </c>
      <c r="M46" s="344">
        <f t="shared" si="86"/>
        <v>162585003.20832002</v>
      </c>
      <c r="N46" s="550"/>
      <c r="O46" s="550"/>
      <c r="P46" s="1">
        <f>'برنامه 5 ساله'!B4+'برنامه 5 ساله'!B10+'برنامه 5 ساله'!B14</f>
        <v>3893901978</v>
      </c>
      <c r="Q46" s="354" t="s">
        <v>7065</v>
      </c>
      <c r="R46" s="355"/>
      <c r="S46" s="355"/>
      <c r="T46" s="355"/>
      <c r="U46" s="355"/>
      <c r="V46" s="453"/>
    </row>
    <row r="47" spans="1:22" ht="18.75">
      <c r="A47" s="571" t="s">
        <v>7051</v>
      </c>
      <c r="B47" s="225" t="s">
        <v>4134</v>
      </c>
      <c r="C47" s="224">
        <v>2133.6999999999998</v>
      </c>
      <c r="D47" s="301">
        <f>13043.5*G47/26</f>
        <v>13545.173076923076</v>
      </c>
      <c r="E47" s="556" t="s">
        <v>7030</v>
      </c>
      <c r="F47" s="557">
        <v>12</v>
      </c>
      <c r="G47" s="558">
        <v>27</v>
      </c>
      <c r="H47" s="301">
        <f t="shared" ref="H47" si="90">C47*D47*0.9912/G47</f>
        <v>1061000.1496015382</v>
      </c>
      <c r="I47" s="544">
        <f>(F47+G47)*H47</f>
        <v>41379005.83445999</v>
      </c>
      <c r="J47" s="437">
        <f t="shared" si="83"/>
        <v>12304.487633650822</v>
      </c>
      <c r="K47" s="438">
        <f t="shared" si="29"/>
        <v>-9.159613068259798</v>
      </c>
      <c r="L47" s="491">
        <f t="shared" si="42"/>
        <v>-1240.6854432722539</v>
      </c>
      <c r="M47" s="344">
        <f t="shared" si="86"/>
        <v>15915002.244023073</v>
      </c>
      <c r="N47" s="550" t="s">
        <v>25</v>
      </c>
      <c r="O47" s="550" t="s">
        <v>25</v>
      </c>
      <c r="P47" s="354"/>
      <c r="Q47" s="354"/>
      <c r="R47" s="355"/>
      <c r="S47" s="355"/>
      <c r="V47" s="453"/>
    </row>
    <row r="48" spans="1:22" ht="18.75">
      <c r="A48" s="580" t="s">
        <v>7063</v>
      </c>
      <c r="B48" s="225" t="s">
        <v>4134</v>
      </c>
      <c r="C48" s="224">
        <v>2126</v>
      </c>
      <c r="D48" s="301">
        <f>320.32*G48/27</f>
        <v>320.32</v>
      </c>
      <c r="E48" s="556" t="s">
        <v>7030</v>
      </c>
      <c r="F48" s="557">
        <v>18</v>
      </c>
      <c r="G48" s="558">
        <v>27</v>
      </c>
      <c r="H48" s="301">
        <f t="shared" ref="H48" si="91">C48*D48*0.9912/G48</f>
        <v>25000.278414222219</v>
      </c>
      <c r="I48" s="544">
        <f>(F48+G48)*H48</f>
        <v>1125012.5286399999</v>
      </c>
      <c r="J48" s="437">
        <f t="shared" ref="J48" si="92">(I48-H48*$O$24)/($O$32*1.003631981)</f>
        <v>362.41231528236693</v>
      </c>
      <c r="K48" s="438">
        <f t="shared" ref="K48" si="93">(J48-D48)*100/D48</f>
        <v>13.140707817921749</v>
      </c>
      <c r="L48" s="491">
        <f t="shared" ref="L48" si="94">D48*K48/100</f>
        <v>42.092315282366947</v>
      </c>
      <c r="M48" s="344">
        <f t="shared" si="86"/>
        <v>375004.17621333327</v>
      </c>
      <c r="N48" s="541"/>
      <c r="O48" s="541" t="s">
        <v>25</v>
      </c>
      <c r="P48" s="1">
        <f>P46-P45</f>
        <v>3029567368.5611043</v>
      </c>
      <c r="Q48" s="354" t="s">
        <v>7066</v>
      </c>
      <c r="R48" s="355"/>
      <c r="S48" s="355"/>
      <c r="V48" s="453"/>
    </row>
    <row r="49" spans="1:33" ht="18.75">
      <c r="A49" s="229" t="s">
        <v>7033</v>
      </c>
      <c r="B49" s="225" t="s">
        <v>4134</v>
      </c>
      <c r="C49" s="224">
        <v>1818</v>
      </c>
      <c r="D49" s="301">
        <f>1598.223*G49/24</f>
        <v>1798.000875</v>
      </c>
      <c r="E49" s="339" t="s">
        <v>7031</v>
      </c>
      <c r="F49" s="468">
        <v>39</v>
      </c>
      <c r="G49" s="329">
        <v>27</v>
      </c>
      <c r="H49" s="301">
        <f t="shared" si="82"/>
        <v>120000.0167982</v>
      </c>
      <c r="I49" s="544">
        <f t="shared" si="41"/>
        <v>7920001.1086812001</v>
      </c>
      <c r="J49" s="437">
        <f t="shared" ref="J49:J55" si="95">(I49-H49*$O$23)/($O$32*1.003631981)</f>
        <v>2667.3253090158073</v>
      </c>
      <c r="K49" s="438">
        <f t="shared" si="29"/>
        <v>48.349500053263732</v>
      </c>
      <c r="L49" s="491">
        <f t="shared" si="42"/>
        <v>869.32443401580736</v>
      </c>
      <c r="M49" s="344">
        <f>H49*$O$23</f>
        <v>2400000.3359639999</v>
      </c>
      <c r="N49" s="564"/>
      <c r="O49" s="564" t="s">
        <v>25</v>
      </c>
      <c r="P49" s="354">
        <f>P48/(O32*1.003631981)</f>
        <v>1463920.3960751782</v>
      </c>
      <c r="Q49" s="354" t="s">
        <v>7027</v>
      </c>
      <c r="R49" s="355"/>
      <c r="S49" s="355"/>
    </row>
    <row r="50" spans="1:33" ht="25.5" customHeight="1">
      <c r="A50" s="229" t="s">
        <v>7035</v>
      </c>
      <c r="B50" s="225" t="s">
        <v>4134</v>
      </c>
      <c r="C50" s="224">
        <v>1806</v>
      </c>
      <c r="D50" s="301">
        <f>268.141*G50/24</f>
        <v>301.65862500000003</v>
      </c>
      <c r="E50" s="339" t="s">
        <v>7031</v>
      </c>
      <c r="F50" s="468">
        <v>36</v>
      </c>
      <c r="G50" s="329">
        <v>27</v>
      </c>
      <c r="H50" s="301">
        <f t="shared" ref="H50:H52" si="96">C50*D50*0.9912/G50</f>
        <v>20000.047279800001</v>
      </c>
      <c r="I50" s="544">
        <f t="shared" ref="I50:I52" si="97">(F50+G50)*H50</f>
        <v>1260002.9786274</v>
      </c>
      <c r="J50" s="437">
        <f t="shared" si="95"/>
        <v>415.56247597779509</v>
      </c>
      <c r="K50" s="438">
        <f t="shared" si="29"/>
        <v>37.75918920859467</v>
      </c>
      <c r="L50" s="491">
        <f t="shared" si="42"/>
        <v>113.90385097779509</v>
      </c>
      <c r="M50" s="344">
        <f t="shared" ref="M50:M55" si="98">H50*$O$23</f>
        <v>400000.94559600001</v>
      </c>
      <c r="N50" s="564"/>
      <c r="O50" s="564"/>
      <c r="P50" s="370">
        <f>P49-P42</f>
        <v>165343.39607517817</v>
      </c>
      <c r="Q50" s="354" t="s">
        <v>7067</v>
      </c>
      <c r="R50" s="355"/>
      <c r="S50" s="355"/>
    </row>
    <row r="51" spans="1:33" ht="18.75">
      <c r="A51" s="229" t="s">
        <v>7037</v>
      </c>
      <c r="B51" s="225" t="s">
        <v>4134</v>
      </c>
      <c r="C51" s="224">
        <v>1870</v>
      </c>
      <c r="D51" s="301">
        <f>233.065*G51/24</f>
        <v>262.198125</v>
      </c>
      <c r="E51" s="339" t="s">
        <v>7031</v>
      </c>
      <c r="F51" s="468">
        <v>27</v>
      </c>
      <c r="G51" s="329">
        <v>27</v>
      </c>
      <c r="H51" s="301">
        <f t="shared" si="96"/>
        <v>17999.843014999999</v>
      </c>
      <c r="I51" s="544">
        <f t="shared" si="97"/>
        <v>971991.52280999988</v>
      </c>
      <c r="J51" s="437">
        <f t="shared" si="95"/>
        <v>295.72257677275161</v>
      </c>
      <c r="K51" s="438">
        <f t="shared" si="29"/>
        <v>12.785923535018263</v>
      </c>
      <c r="L51" s="491">
        <f t="shared" si="42"/>
        <v>33.524451772751604</v>
      </c>
      <c r="M51" s="344">
        <f t="shared" si="98"/>
        <v>359996.86029999994</v>
      </c>
      <c r="N51" s="570"/>
      <c r="O51" s="570" t="s">
        <v>25</v>
      </c>
      <c r="P51" s="570"/>
      <c r="Q51" s="570"/>
      <c r="R51" s="355"/>
      <c r="S51" s="355" t="s">
        <v>25</v>
      </c>
    </row>
    <row r="52" spans="1:33" ht="23.25" customHeight="1">
      <c r="A52" s="229" t="s">
        <v>7040</v>
      </c>
      <c r="B52" s="225" t="s">
        <v>4134</v>
      </c>
      <c r="C52" s="224">
        <v>2083</v>
      </c>
      <c r="D52" s="301">
        <f>476.59*G52/24</f>
        <v>536.16374999999994</v>
      </c>
      <c r="E52" s="339" t="s">
        <v>7031</v>
      </c>
      <c r="F52" s="468">
        <v>23.7</v>
      </c>
      <c r="G52" s="329">
        <v>27</v>
      </c>
      <c r="H52" s="301">
        <f t="shared" si="96"/>
        <v>41000.036860999993</v>
      </c>
      <c r="I52" s="544">
        <f t="shared" si="97"/>
        <v>2078701.8688526999</v>
      </c>
      <c r="J52" s="437">
        <f t="shared" si="95"/>
        <v>608.21828168659613</v>
      </c>
      <c r="K52" s="438">
        <f t="shared" si="29"/>
        <v>13.438904007702162</v>
      </c>
      <c r="L52" s="491">
        <f t="shared" si="42"/>
        <v>72.054531686596192</v>
      </c>
      <c r="M52" s="344">
        <f t="shared" si="98"/>
        <v>820000.73721999989</v>
      </c>
      <c r="N52" s="570"/>
      <c r="O52" s="570" t="s">
        <v>25</v>
      </c>
      <c r="P52" s="570"/>
      <c r="Q52" s="570"/>
      <c r="R52" s="355"/>
      <c r="S52" s="355"/>
    </row>
    <row r="53" spans="1:33" ht="25.5" customHeight="1">
      <c r="A53" s="571" t="s">
        <v>7041</v>
      </c>
      <c r="B53" s="225" t="s">
        <v>4134</v>
      </c>
      <c r="C53" s="224">
        <v>2096</v>
      </c>
      <c r="D53" s="301">
        <f>825.97*G53/26</f>
        <v>857.73807692307696</v>
      </c>
      <c r="E53" s="339" t="s">
        <v>7031</v>
      </c>
      <c r="F53" s="468">
        <v>23.3</v>
      </c>
      <c r="G53" s="329">
        <v>27</v>
      </c>
      <c r="H53" s="301">
        <f t="shared" ref="H53" si="99">C53*D53*0.9912/G53</f>
        <v>65999.933405538453</v>
      </c>
      <c r="I53" s="544">
        <f t="shared" ref="I53" si="100">(F53+G53)*H53</f>
        <v>3319796.6502985838</v>
      </c>
      <c r="J53" s="437">
        <f t="shared" si="95"/>
        <v>966.32446088999438</v>
      </c>
      <c r="K53" s="438">
        <f t="shared" si="29"/>
        <v>12.659620330304584</v>
      </c>
      <c r="L53" s="491">
        <f t="shared" si="42"/>
        <v>108.58638396691742</v>
      </c>
      <c r="M53" s="344">
        <f t="shared" si="98"/>
        <v>1319998.668110769</v>
      </c>
      <c r="N53" s="570"/>
      <c r="O53" s="570"/>
      <c r="P53" s="570"/>
      <c r="Q53" s="570"/>
      <c r="R53" s="355"/>
      <c r="S53" s="355"/>
    </row>
    <row r="54" spans="1:33" ht="18.75">
      <c r="A54" s="571" t="s">
        <v>7051</v>
      </c>
      <c r="B54" s="225" t="s">
        <v>4134</v>
      </c>
      <c r="C54" s="224">
        <v>2133.6999999999998</v>
      </c>
      <c r="D54" s="301">
        <f>282.75*G54/26</f>
        <v>293.625</v>
      </c>
      <c r="E54" s="339" t="s">
        <v>7031</v>
      </c>
      <c r="F54" s="468">
        <v>21.7</v>
      </c>
      <c r="G54" s="329">
        <v>27</v>
      </c>
      <c r="H54" s="301">
        <f t="shared" ref="H54" si="101">C54*D54*0.9912/G54</f>
        <v>22999.792409999998</v>
      </c>
      <c r="I54" s="544">
        <f t="shared" ref="I54" si="102">(F54+G54)*H54</f>
        <v>1120089.8903669999</v>
      </c>
      <c r="J54" s="437">
        <f t="shared" si="95"/>
        <v>318.96472799511866</v>
      </c>
      <c r="K54" s="438">
        <f t="shared" si="29"/>
        <v>8.629962705872682</v>
      </c>
      <c r="L54" s="491">
        <f t="shared" si="42"/>
        <v>25.339727995118665</v>
      </c>
      <c r="M54" s="344">
        <f t="shared" si="98"/>
        <v>459995.84819999995</v>
      </c>
      <c r="N54" s="570"/>
      <c r="O54" s="570" t="s">
        <v>25</v>
      </c>
      <c r="P54" s="570"/>
      <c r="Q54" s="570"/>
      <c r="R54" s="355"/>
      <c r="S54" s="355"/>
    </row>
    <row r="55" spans="1:33" ht="18.75">
      <c r="A55" s="229" t="s">
        <v>7051</v>
      </c>
      <c r="B55" s="225" t="s">
        <v>4134</v>
      </c>
      <c r="C55" s="224">
        <v>2133.6999999999998</v>
      </c>
      <c r="D55" s="301">
        <f>1327.71*G55/26</f>
        <v>1378.7757692307691</v>
      </c>
      <c r="E55" s="339" t="s">
        <v>7031</v>
      </c>
      <c r="F55" s="468">
        <v>23</v>
      </c>
      <c r="G55" s="329">
        <v>27</v>
      </c>
      <c r="H55" s="301">
        <f t="shared" ref="H55" si="103">C55*D55*0.9912/G55</f>
        <v>108000.19232778459</v>
      </c>
      <c r="I55" s="544">
        <f t="shared" ref="I55" si="104">(F55+G55)*H55</f>
        <v>5400009.6163892299</v>
      </c>
      <c r="J55" s="437">
        <f t="shared" si="95"/>
        <v>1565.6065546128855</v>
      </c>
      <c r="K55" s="438">
        <f t="shared" si="29"/>
        <v>13.550483664675282</v>
      </c>
      <c r="L55" s="491">
        <f t="shared" si="42"/>
        <v>186.83078538211635</v>
      </c>
      <c r="M55" s="344">
        <f t="shared" si="98"/>
        <v>2160003.8465556917</v>
      </c>
      <c r="N55" s="570"/>
      <c r="O55" s="570"/>
      <c r="P55" s="570"/>
      <c r="Q55" s="570"/>
      <c r="R55" s="355"/>
      <c r="S55" s="355"/>
    </row>
    <row r="56" spans="1:33" ht="21" customHeight="1">
      <c r="A56" s="229" t="s">
        <v>7033</v>
      </c>
      <c r="B56" s="225" t="s">
        <v>4134</v>
      </c>
      <c r="C56" s="224">
        <v>1818</v>
      </c>
      <c r="D56" s="301">
        <f>799.112*G56/24</f>
        <v>899.00099999999986</v>
      </c>
      <c r="E56" s="249" t="s">
        <v>7032</v>
      </c>
      <c r="F56" s="332">
        <v>45</v>
      </c>
      <c r="G56" s="317">
        <v>27</v>
      </c>
      <c r="H56" s="301">
        <f t="shared" si="82"/>
        <v>60000.045940799995</v>
      </c>
      <c r="I56" s="544">
        <f t="shared" si="41"/>
        <v>4320003.3077376001</v>
      </c>
      <c r="J56" s="437">
        <f t="shared" ref="J56:J61" si="105">(I56-H56*$O$22)/($O$32*1.003631981)</f>
        <v>1217.6927508022031</v>
      </c>
      <c r="K56" s="438">
        <f t="shared" si="29"/>
        <v>35.449543526892995</v>
      </c>
      <c r="L56" s="491">
        <f t="shared" si="42"/>
        <v>318.69175080220322</v>
      </c>
      <c r="M56" s="344">
        <f>H56*$O$22</f>
        <v>1800001.3782239999</v>
      </c>
      <c r="N56" s="570"/>
      <c r="O56" s="570"/>
      <c r="P56" s="570"/>
      <c r="Q56" s="570"/>
      <c r="R56" s="355"/>
      <c r="S56" s="355"/>
    </row>
    <row r="57" spans="1:33" ht="19.5" customHeight="1">
      <c r="A57" s="229" t="s">
        <v>7035</v>
      </c>
      <c r="B57" s="225" t="s">
        <v>4134</v>
      </c>
      <c r="C57" s="224">
        <v>1806</v>
      </c>
      <c r="D57" s="301">
        <f>201.106*G57/24</f>
        <v>226.24424999999999</v>
      </c>
      <c r="E57" s="249" t="s">
        <v>7032</v>
      </c>
      <c r="F57" s="332">
        <v>44</v>
      </c>
      <c r="G57" s="317">
        <v>27</v>
      </c>
      <c r="H57" s="301">
        <f t="shared" ref="H57:H63" si="106">C57*D57*0.9912/G57</f>
        <v>15000.0541068</v>
      </c>
      <c r="I57" s="544">
        <f t="shared" ref="I57:I63" si="107">(F57+G57)*H57</f>
        <v>1065003.8415828</v>
      </c>
      <c r="J57" s="437">
        <f t="shared" si="105"/>
        <v>297.17586096915585</v>
      </c>
      <c r="K57" s="438">
        <f t="shared" si="29"/>
        <v>31.351785059357688</v>
      </c>
      <c r="L57" s="491">
        <f t="shared" si="42"/>
        <v>70.931610969155855</v>
      </c>
      <c r="M57" s="344">
        <f t="shared" ref="M57:M61" si="108">H57*$O$22</f>
        <v>450001.623204</v>
      </c>
      <c r="N57" s="579"/>
      <c r="O57" s="579"/>
      <c r="P57" s="579"/>
      <c r="Q57" s="579"/>
      <c r="R57" s="355"/>
      <c r="S57" s="355"/>
      <c r="AC57" s="350"/>
      <c r="AD57" s="350"/>
      <c r="AE57" s="350"/>
      <c r="AF57" s="350"/>
      <c r="AG57" s="350"/>
    </row>
    <row r="58" spans="1:33" ht="20.25" customHeight="1">
      <c r="A58" s="229" t="s">
        <v>7040</v>
      </c>
      <c r="B58" s="225" t="s">
        <v>4134</v>
      </c>
      <c r="C58" s="224">
        <v>2083</v>
      </c>
      <c r="D58" s="301">
        <f>557.96*G58/24</f>
        <v>627.70500000000004</v>
      </c>
      <c r="E58" s="249" t="s">
        <v>7032</v>
      </c>
      <c r="F58" s="332">
        <v>31.6</v>
      </c>
      <c r="G58" s="317">
        <v>27</v>
      </c>
      <c r="H58" s="301">
        <f t="shared" si="106"/>
        <v>48000.127084</v>
      </c>
      <c r="I58" s="544">
        <f t="shared" si="107"/>
        <v>2812807.4471224002</v>
      </c>
      <c r="J58" s="437">
        <f t="shared" si="105"/>
        <v>663.35387070632703</v>
      </c>
      <c r="K58" s="438">
        <f t="shared" si="29"/>
        <v>5.6792395641785527</v>
      </c>
      <c r="L58" s="491">
        <f t="shared" si="42"/>
        <v>35.648870706326989</v>
      </c>
      <c r="M58" s="344">
        <f t="shared" si="108"/>
        <v>1440003.8125199999</v>
      </c>
      <c r="N58" s="579"/>
      <c r="O58" s="579"/>
      <c r="P58" s="579"/>
      <c r="Q58" s="579"/>
      <c r="R58" s="355"/>
      <c r="S58" s="355"/>
      <c r="Z58" s="453"/>
      <c r="AC58" s="350"/>
      <c r="AD58" s="350"/>
      <c r="AE58" s="350"/>
      <c r="AF58" s="350"/>
      <c r="AG58" s="350"/>
    </row>
    <row r="59" spans="1:33" ht="18.75">
      <c r="A59" s="571" t="s">
        <v>7041</v>
      </c>
      <c r="B59" s="225" t="s">
        <v>4134</v>
      </c>
      <c r="C59" s="224">
        <v>2096</v>
      </c>
      <c r="D59" s="301">
        <f>500.59*G59/26</f>
        <v>519.8434615384615</v>
      </c>
      <c r="E59" s="249" t="s">
        <v>7032</v>
      </c>
      <c r="F59" s="332">
        <v>30.2</v>
      </c>
      <c r="G59" s="317">
        <v>27</v>
      </c>
      <c r="H59" s="301">
        <f t="shared" ref="H59" si="109">C59*D59*0.9912/G59</f>
        <v>40000.129137230761</v>
      </c>
      <c r="I59" s="544">
        <f t="shared" ref="I59" si="110">(F59+G59)*H59</f>
        <v>2288007.3866495998</v>
      </c>
      <c r="J59" s="437">
        <f t="shared" si="105"/>
        <v>525.7353077956144</v>
      </c>
      <c r="K59" s="438">
        <f t="shared" si="29"/>
        <v>1.1333885473361847</v>
      </c>
      <c r="L59" s="491">
        <f t="shared" si="42"/>
        <v>5.8918462571529062</v>
      </c>
      <c r="M59" s="344">
        <f t="shared" si="108"/>
        <v>1200003.8741169227</v>
      </c>
      <c r="N59" s="579"/>
      <c r="O59" s="579"/>
      <c r="P59" s="579"/>
      <c r="Q59" s="579"/>
      <c r="R59" s="355"/>
      <c r="S59" s="355"/>
      <c r="Z59" s="453"/>
      <c r="AC59" s="350"/>
      <c r="AD59" s="350"/>
      <c r="AE59" s="350"/>
      <c r="AF59" s="350"/>
      <c r="AG59" s="350"/>
    </row>
    <row r="60" spans="1:33" ht="18.75">
      <c r="A60" s="571" t="s">
        <v>7051</v>
      </c>
      <c r="B60" s="225" t="s">
        <v>4134</v>
      </c>
      <c r="C60" s="224">
        <v>2133.6999999999998</v>
      </c>
      <c r="D60" s="301">
        <f>122.94*G60/26</f>
        <v>127.66846153846154</v>
      </c>
      <c r="E60" s="249" t="s">
        <v>7032</v>
      </c>
      <c r="F60" s="332">
        <v>28</v>
      </c>
      <c r="G60" s="317">
        <v>27</v>
      </c>
      <c r="H60" s="301">
        <f t="shared" ref="H60" si="111">C60*D60*0.9912/G60</f>
        <v>10000.334142830769</v>
      </c>
      <c r="I60" s="544">
        <f t="shared" ref="I60" si="112">(F60+G60)*H60</f>
        <v>550018.37785569229</v>
      </c>
      <c r="J60" s="437">
        <f t="shared" si="105"/>
        <v>120.80679630347751</v>
      </c>
      <c r="K60" s="438">
        <f t="shared" si="29"/>
        <v>-5.3745969461039351</v>
      </c>
      <c r="L60" s="491">
        <f t="shared" si="42"/>
        <v>-6.8616652349840308</v>
      </c>
      <c r="M60" s="344">
        <f t="shared" si="108"/>
        <v>300010.02428492304</v>
      </c>
      <c r="N60" s="579" t="s">
        <v>25</v>
      </c>
      <c r="O60" s="579"/>
      <c r="P60" s="579"/>
      <c r="Q60" s="579"/>
      <c r="R60" s="355"/>
      <c r="S60" s="355"/>
      <c r="Z60" s="453"/>
      <c r="AC60" s="350"/>
      <c r="AD60" s="350"/>
      <c r="AE60" s="350"/>
      <c r="AF60" s="350"/>
      <c r="AG60" s="350"/>
    </row>
    <row r="61" spans="1:33" ht="18.75">
      <c r="A61" s="229" t="s">
        <v>7051</v>
      </c>
      <c r="B61" s="225" t="s">
        <v>4134</v>
      </c>
      <c r="C61" s="224">
        <v>2133.6999999999998</v>
      </c>
      <c r="D61" s="301">
        <f>1413.76*G61/26</f>
        <v>1468.1353846153845</v>
      </c>
      <c r="E61" s="249" t="s">
        <v>7032</v>
      </c>
      <c r="F61" s="332">
        <v>30</v>
      </c>
      <c r="G61" s="317">
        <v>27</v>
      </c>
      <c r="H61" s="301">
        <f t="shared" ref="H61" si="113">C61*D61*0.9912/G61</f>
        <v>114999.7754820923</v>
      </c>
      <c r="I61" s="544">
        <f t="shared" ref="I61" si="114">(F61+G61)*H61</f>
        <v>6554987.202479261</v>
      </c>
      <c r="J61" s="437">
        <f t="shared" si="105"/>
        <v>1500.3673470747087</v>
      </c>
      <c r="K61" s="438">
        <f t="shared" si="29"/>
        <v>2.1954352982077472</v>
      </c>
      <c r="L61" s="491">
        <f t="shared" si="42"/>
        <v>32.231962459324222</v>
      </c>
      <c r="M61" s="344">
        <f t="shared" si="108"/>
        <v>3449993.264462769</v>
      </c>
      <c r="N61" s="579"/>
      <c r="O61" s="579"/>
      <c r="P61" s="579"/>
      <c r="Q61" s="579"/>
      <c r="R61" s="355"/>
      <c r="S61" s="355"/>
      <c r="Z61" s="453"/>
      <c r="AC61" s="350"/>
      <c r="AD61" s="350"/>
      <c r="AE61" s="350"/>
      <c r="AF61" s="350"/>
      <c r="AG61" s="350"/>
    </row>
    <row r="62" spans="1:33" ht="24" customHeight="1">
      <c r="A62" s="580" t="s">
        <v>7072</v>
      </c>
      <c r="B62" s="225" t="s">
        <v>4134</v>
      </c>
      <c r="C62" s="224">
        <v>2126</v>
      </c>
      <c r="D62" s="301">
        <f>256.25*G62/27</f>
        <v>256.25</v>
      </c>
      <c r="E62" s="249" t="s">
        <v>7032</v>
      </c>
      <c r="F62" s="332">
        <v>30</v>
      </c>
      <c r="G62" s="317">
        <v>27</v>
      </c>
      <c r="H62" s="301">
        <f t="shared" ref="H62" si="115">C62*D62*0.9912/G62</f>
        <v>19999.754444444443</v>
      </c>
      <c r="I62" s="544">
        <f t="shared" ref="I62" si="116">(F62+G62)*H62</f>
        <v>1139986.0033333332</v>
      </c>
      <c r="J62" s="437">
        <f t="shared" ref="J62" si="117">(I62-H62*$O$22)/($O$32*1.003631981)</f>
        <v>260.93075740508198</v>
      </c>
      <c r="K62" s="438">
        <f t="shared" ref="K62" si="118">(J62-D62)*100/D62</f>
        <v>1.8266370361295519</v>
      </c>
      <c r="L62" s="491">
        <f t="shared" ref="L62" si="119">D62*K62/100</f>
        <v>4.6807574050819767</v>
      </c>
      <c r="M62" s="344">
        <f t="shared" ref="M62" si="120">H62*$O$22</f>
        <v>599992.6333333333</v>
      </c>
      <c r="N62" s="579"/>
      <c r="O62" s="579"/>
      <c r="P62" s="579"/>
      <c r="Q62" s="579"/>
      <c r="R62" s="355"/>
      <c r="S62" s="355"/>
      <c r="Z62" s="453"/>
      <c r="AC62" s="350"/>
      <c r="AD62" s="350"/>
      <c r="AE62" s="350"/>
      <c r="AF62" s="350"/>
      <c r="AG62" s="350"/>
    </row>
    <row r="63" spans="1:33" ht="18.75">
      <c r="A63" s="229" t="s">
        <v>7035</v>
      </c>
      <c r="B63" s="225" t="s">
        <v>4134</v>
      </c>
      <c r="C63" s="224">
        <v>1806</v>
      </c>
      <c r="D63" s="301">
        <f>134.071*G63/24</f>
        <v>150.82987499999999</v>
      </c>
      <c r="E63" s="435" t="s">
        <v>7034</v>
      </c>
      <c r="F63" s="436">
        <v>53</v>
      </c>
      <c r="G63" s="482">
        <v>27</v>
      </c>
      <c r="H63" s="301">
        <f t="shared" si="106"/>
        <v>10000.060933799999</v>
      </c>
      <c r="I63" s="544">
        <f t="shared" si="107"/>
        <v>800004.87470399996</v>
      </c>
      <c r="J63" s="437">
        <f>(I63-H63*$O$21)/($O$32*1.003631981)</f>
        <v>202.94987304981734</v>
      </c>
      <c r="K63" s="438">
        <f t="shared" si="29"/>
        <v>34.555487133976179</v>
      </c>
      <c r="L63" s="491">
        <f t="shared" si="42"/>
        <v>52.119998049817347</v>
      </c>
      <c r="M63" s="344">
        <f>H63*$O$21</f>
        <v>380002.31548439997</v>
      </c>
      <c r="N63" s="579"/>
      <c r="O63" s="579" t="s">
        <v>25</v>
      </c>
      <c r="P63" s="579"/>
      <c r="Q63" s="579"/>
      <c r="R63" s="355"/>
      <c r="S63" s="355"/>
      <c r="Z63" s="453"/>
      <c r="AC63" s="350"/>
      <c r="AD63" s="350"/>
      <c r="AE63" s="350"/>
      <c r="AF63" s="350"/>
      <c r="AG63" s="350"/>
    </row>
    <row r="64" spans="1:33" ht="21.75" customHeight="1">
      <c r="A64" s="229" t="s">
        <v>7037</v>
      </c>
      <c r="B64" s="225" t="s">
        <v>4134</v>
      </c>
      <c r="C64" s="224">
        <v>1870</v>
      </c>
      <c r="D64" s="301">
        <f>168.32*G64/24</f>
        <v>189.35999999999999</v>
      </c>
      <c r="E64" s="435" t="s">
        <v>7034</v>
      </c>
      <c r="F64" s="436">
        <v>41</v>
      </c>
      <c r="G64" s="482">
        <v>27</v>
      </c>
      <c r="H64" s="301">
        <f t="shared" ref="H64:H65" si="121">C64*D64*0.9912/G64</f>
        <v>12999.521919999997</v>
      </c>
      <c r="I64" s="544">
        <f t="shared" ref="I64:I65" si="122">(F64+G64)*H64</f>
        <v>883967.49055999983</v>
      </c>
      <c r="J64" s="437">
        <f>(I64-H64*$O$21)/($O$32*1.003631981)</f>
        <v>188.4453748287446</v>
      </c>
      <c r="K64" s="438">
        <f t="shared" si="29"/>
        <v>-0.48300864557212753</v>
      </c>
      <c r="L64" s="491">
        <f t="shared" si="42"/>
        <v>-0.91462517125538056</v>
      </c>
      <c r="M64" s="344">
        <f t="shared" ref="M64:M66" si="123">H64*$O$21</f>
        <v>493981.83295999991</v>
      </c>
      <c r="N64" s="579"/>
      <c r="O64" s="579"/>
      <c r="P64" s="579"/>
      <c r="Q64" s="579"/>
      <c r="R64" s="355"/>
      <c r="S64" s="355"/>
      <c r="W64" s="453"/>
      <c r="X64" s="453"/>
      <c r="Y64" s="453"/>
      <c r="Z64" s="453"/>
      <c r="AC64" s="350"/>
      <c r="AD64" s="350"/>
      <c r="AE64" s="350"/>
      <c r="AF64" s="350"/>
      <c r="AG64" s="350"/>
    </row>
    <row r="65" spans="1:35" ht="18.75">
      <c r="A65" s="229" t="s">
        <v>7040</v>
      </c>
      <c r="B65" s="225" t="s">
        <v>4134</v>
      </c>
      <c r="C65" s="224">
        <v>2083</v>
      </c>
      <c r="D65" s="301">
        <f>209.24*G65/24</f>
        <v>235.39500000000001</v>
      </c>
      <c r="E65" s="435" t="s">
        <v>7034</v>
      </c>
      <c r="F65" s="436">
        <v>38</v>
      </c>
      <c r="G65" s="482">
        <v>27</v>
      </c>
      <c r="H65" s="301">
        <f t="shared" si="121"/>
        <v>18000.477796000003</v>
      </c>
      <c r="I65" s="544">
        <f t="shared" si="122"/>
        <v>1170031.0567400001</v>
      </c>
      <c r="J65" s="437">
        <f>(I65-H65*$O$21)/($O$32*1.003631981)</f>
        <v>234.8467986449877</v>
      </c>
      <c r="K65" s="438">
        <f t="shared" si="29"/>
        <v>-0.23288572612515554</v>
      </c>
      <c r="L65" s="491">
        <f t="shared" si="42"/>
        <v>-0.54820135501230993</v>
      </c>
      <c r="M65" s="344">
        <f t="shared" si="123"/>
        <v>684018.1562480001</v>
      </c>
      <c r="N65" s="570"/>
      <c r="O65" s="570"/>
      <c r="P65" s="570"/>
      <c r="Q65" s="570"/>
      <c r="R65" s="355"/>
      <c r="S65" s="355"/>
      <c r="W65" s="453"/>
      <c r="X65" s="453"/>
      <c r="Y65" s="453"/>
      <c r="Z65" s="453"/>
      <c r="AC65" s="350"/>
      <c r="AD65" s="350"/>
      <c r="AE65" s="350"/>
      <c r="AF65" s="350"/>
      <c r="AG65" s="350"/>
    </row>
    <row r="66" spans="1:35" ht="18.75">
      <c r="A66" s="571" t="s">
        <v>7041</v>
      </c>
      <c r="B66" s="225" t="s">
        <v>4134</v>
      </c>
      <c r="C66" s="224">
        <v>2096</v>
      </c>
      <c r="D66" s="301">
        <f>1439.19*G66/26</f>
        <v>1494.5434615384618</v>
      </c>
      <c r="E66" s="435" t="s">
        <v>7034</v>
      </c>
      <c r="F66" s="436">
        <v>35.700000000000003</v>
      </c>
      <c r="G66" s="482">
        <v>27</v>
      </c>
      <c r="H66" s="301">
        <f t="shared" ref="H66" si="124">C66*D66*0.9912/G66</f>
        <v>114999.8718572308</v>
      </c>
      <c r="I66" s="544">
        <f t="shared" ref="I66" si="125">(F66+G66)*H66</f>
        <v>7210491.9654483711</v>
      </c>
      <c r="J66" s="437">
        <f>(I66-H66*$O$21)/($O$32*1.003631981)</f>
        <v>1372.5594270357558</v>
      </c>
      <c r="K66" s="438">
        <f t="shared" si="29"/>
        <v>-8.161959664735166</v>
      </c>
      <c r="L66" s="491">
        <f t="shared" si="42"/>
        <v>-121.98403450270598</v>
      </c>
      <c r="M66" s="344">
        <f t="shared" si="123"/>
        <v>4369995.1305747703</v>
      </c>
      <c r="N66" s="564" t="s">
        <v>25</v>
      </c>
      <c r="O66" s="564"/>
      <c r="P66" s="564"/>
      <c r="Q66" s="564"/>
      <c r="R66" s="355"/>
      <c r="S66" s="355"/>
      <c r="W66" s="453"/>
      <c r="X66" s="453"/>
      <c r="Y66" s="453"/>
      <c r="Z66" s="453"/>
      <c r="AC66" s="350"/>
      <c r="AD66" s="350"/>
      <c r="AE66" s="350"/>
      <c r="AF66" s="350"/>
      <c r="AG66" s="350"/>
    </row>
    <row r="67" spans="1:35" ht="25.5" customHeight="1">
      <c r="A67" s="229"/>
      <c r="B67" s="225"/>
      <c r="C67" s="224"/>
      <c r="D67" s="301"/>
      <c r="E67" s="435"/>
      <c r="F67" s="436"/>
      <c r="G67" s="482"/>
      <c r="H67" s="437"/>
      <c r="I67" s="437"/>
      <c r="J67" s="437"/>
      <c r="K67" s="100"/>
      <c r="L67" s="438"/>
      <c r="M67" s="491"/>
      <c r="N67" s="581"/>
      <c r="O67" s="581"/>
      <c r="P67" s="581"/>
      <c r="Q67" s="581"/>
      <c r="R67" s="355"/>
      <c r="S67" s="355"/>
      <c r="W67" s="453"/>
      <c r="X67" s="453"/>
      <c r="Y67" s="453"/>
      <c r="Z67" s="453"/>
      <c r="AC67" s="350"/>
      <c r="AD67" s="350"/>
      <c r="AE67" s="350"/>
      <c r="AF67" s="350"/>
      <c r="AG67" s="350"/>
    </row>
    <row r="68" spans="1:35" ht="18.75">
      <c r="A68" s="229" t="s">
        <v>25</v>
      </c>
      <c r="B68" s="225"/>
      <c r="C68" s="224"/>
      <c r="D68" s="301"/>
      <c r="E68" s="435"/>
      <c r="F68" s="436"/>
      <c r="G68" s="482"/>
      <c r="H68" s="437"/>
      <c r="I68" s="481"/>
      <c r="J68" s="437"/>
      <c r="K68" s="100"/>
      <c r="L68" s="438"/>
      <c r="M68" s="491"/>
      <c r="N68" s="581"/>
      <c r="O68" s="581"/>
      <c r="P68" s="581"/>
      <c r="Q68" s="581"/>
      <c r="R68" s="355"/>
      <c r="S68" s="355"/>
      <c r="W68" s="453"/>
      <c r="X68" s="453"/>
      <c r="Y68" s="453"/>
      <c r="Z68" s="453"/>
      <c r="AC68" s="350"/>
      <c r="AD68" s="350"/>
      <c r="AE68" s="350"/>
      <c r="AF68" s="350"/>
      <c r="AG68" s="350"/>
    </row>
    <row r="69" spans="1:35" ht="18.75">
      <c r="A69" s="229" t="s">
        <v>7014</v>
      </c>
      <c r="B69" s="225" t="s">
        <v>4134</v>
      </c>
      <c r="C69" s="224">
        <v>2149</v>
      </c>
      <c r="D69" s="301">
        <v>1</v>
      </c>
      <c r="E69" s="532" t="s">
        <v>6905</v>
      </c>
      <c r="F69" s="533">
        <v>2066.1</v>
      </c>
      <c r="G69" s="534">
        <f>C69*D69*0.9912/(F69*1.00115)</f>
        <v>1.0297865600341516</v>
      </c>
      <c r="H69" s="535">
        <f>C69/F69</f>
        <v>1.0401239049416775</v>
      </c>
      <c r="I69" s="536">
        <f>$O$32/$O$29</f>
        <v>1.0207920792079208</v>
      </c>
      <c r="J69" s="535">
        <f>I69/H69</f>
        <v>0.98141392035899733</v>
      </c>
      <c r="K69" s="100"/>
      <c r="L69" s="438">
        <f>(1/J69-1.0152)*100</f>
        <v>0.37380640068809257</v>
      </c>
      <c r="M69" s="491"/>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t="s">
        <v>25</v>
      </c>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s="506" t="s">
        <v>6926</v>
      </c>
      <c r="O73" s="506" t="s">
        <v>6927</v>
      </c>
      <c r="P73" s="507" t="s">
        <v>4387</v>
      </c>
      <c r="Q73" s="508" t="s">
        <v>6928</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37">
        <f>L77-M77</f>
        <v>171193.19836755379</v>
      </c>
      <c r="O74" s="537">
        <f>N74*$O$29*0.99885/($O$32*1.003631981)</f>
        <v>166907.17115714095</v>
      </c>
      <c r="P74" s="437">
        <f>O74/D77</f>
        <v>1.0291730660340677</v>
      </c>
      <c r="Q74" s="437">
        <f>100*(O74-D77)/D77</f>
        <v>2.9173066034067645</v>
      </c>
      <c r="R74" s="381" t="s">
        <v>422</v>
      </c>
      <c r="S74" s="516">
        <f>C77*D77*Q74/100</f>
        <v>10384920.689924395</v>
      </c>
      <c r="X74" s="453"/>
      <c r="Y74" s="453"/>
      <c r="Z74" s="453"/>
      <c r="AA74" s="453"/>
      <c r="AB74" s="453"/>
      <c r="AE74" s="350"/>
      <c r="AF74" s="350"/>
      <c r="AG74" s="350"/>
      <c r="AH74" s="350"/>
      <c r="AI74" s="350"/>
    </row>
    <row r="75" spans="1:35" ht="21" customHeight="1">
      <c r="A75" s="229"/>
      <c r="B75" s="225"/>
      <c r="C75" s="224"/>
      <c r="D75" s="301"/>
      <c r="E75" s="532"/>
      <c r="F75" s="533" t="s">
        <v>25</v>
      </c>
      <c r="G75" s="534"/>
      <c r="H75" s="535"/>
      <c r="I75" s="536"/>
      <c r="J75" s="535"/>
      <c r="K75" s="438"/>
      <c r="L75" s="491"/>
      <c r="M75" s="524"/>
      <c r="N75" s="537">
        <f>L78-M78</f>
        <v>158412.25829199867</v>
      </c>
      <c r="O75" s="537">
        <f>N75*$O$29*0.99885/($O$32*1.003631981)</f>
        <v>154446.21725779402</v>
      </c>
      <c r="P75" s="437">
        <f>O75/D78</f>
        <v>1.0270054676849023</v>
      </c>
      <c r="Q75" s="437">
        <f>100*(O75-D78)/D78</f>
        <v>2.7005467684902231</v>
      </c>
      <c r="R75" s="381" t="s">
        <v>422</v>
      </c>
      <c r="S75" s="516">
        <f>C78*D78*Q75/100</f>
        <v>8345801.4647667157</v>
      </c>
      <c r="X75" s="453"/>
      <c r="Y75" s="453"/>
      <c r="Z75" s="453"/>
      <c r="AA75" s="453"/>
      <c r="AB75" s="453"/>
      <c r="AE75" s="350"/>
      <c r="AF75" s="350"/>
      <c r="AG75" s="350"/>
      <c r="AH75" s="350"/>
      <c r="AI75" s="350"/>
    </row>
    <row r="76" spans="1:35" ht="18.75">
      <c r="A76" s="496"/>
      <c r="B76" s="497"/>
      <c r="C76" s="498"/>
      <c r="D76" s="369"/>
      <c r="E76" s="429"/>
      <c r="F76" s="504" t="s">
        <v>6919</v>
      </c>
      <c r="G76" s="504"/>
      <c r="H76" s="504" t="s">
        <v>6920</v>
      </c>
      <c r="I76" s="469" t="s">
        <v>6921</v>
      </c>
      <c r="J76" s="429" t="s">
        <v>6922</v>
      </c>
      <c r="K76" s="505" t="s">
        <v>6923</v>
      </c>
      <c r="L76" s="429" t="s">
        <v>6924</v>
      </c>
      <c r="M76" s="506" t="s">
        <v>6925</v>
      </c>
      <c r="N76" s="503">
        <f>L79-M79</f>
        <v>49623.588749480972</v>
      </c>
      <c r="O76" s="503">
        <f>N76*$O$31*0.9912/($O$32*1.003631981)</f>
        <v>3184.8655853394039</v>
      </c>
      <c r="P76" s="437">
        <f>O76/D79</f>
        <v>1.1773777140309434</v>
      </c>
      <c r="Q76" s="437">
        <f>100*(O76-D79)/D79</f>
        <v>17.737771403094349</v>
      </c>
      <c r="R76" s="381" t="s">
        <v>422</v>
      </c>
      <c r="S76" s="516">
        <f>C79*D79*Q76/100</f>
        <v>1282364.4275738865</v>
      </c>
      <c r="X76" s="453"/>
      <c r="Y76" s="453"/>
      <c r="Z76" s="453"/>
      <c r="AA76" s="453"/>
      <c r="AB76" s="453"/>
      <c r="AE76" s="350"/>
      <c r="AF76" s="350"/>
      <c r="AG76" s="350"/>
      <c r="AH76" s="350"/>
      <c r="AI76" s="350"/>
    </row>
    <row r="77" spans="1:35" ht="23.25">
      <c r="A77" s="518" t="s">
        <v>7015</v>
      </c>
      <c r="B77" s="225" t="s">
        <v>4134</v>
      </c>
      <c r="C77" s="224">
        <v>2195</v>
      </c>
      <c r="D77" s="301">
        <v>162176</v>
      </c>
      <c r="E77" s="532" t="s">
        <v>6905</v>
      </c>
      <c r="F77" s="533">
        <v>2163</v>
      </c>
      <c r="G77" s="534" t="s">
        <v>7008</v>
      </c>
      <c r="H77" s="535">
        <v>125</v>
      </c>
      <c r="I77" s="536">
        <v>2163</v>
      </c>
      <c r="J77" s="535">
        <f t="shared" ref="J77" si="126">C77*D77*0.9912/(F77*1.00115)</f>
        <v>162939.63208329838</v>
      </c>
      <c r="K77" s="537">
        <f t="shared" ref="K77" si="127">J77*H77*0.99885/(I77*1.00115-H77*0.99885)</f>
        <v>9969.4797562148033</v>
      </c>
      <c r="L77" s="538">
        <f t="shared" ref="L77:L79" si="128">K77+J77</f>
        <v>172909.11183951318</v>
      </c>
      <c r="M77" s="537">
        <f>L77*$O$20*1.00115/($O$29*0.99885)</f>
        <v>1715.9134719593733</v>
      </c>
      <c r="X77" s="453"/>
      <c r="Y77" s="453"/>
      <c r="Z77" s="453"/>
      <c r="AA77" s="453"/>
      <c r="AB77" s="453"/>
      <c r="AE77" s="350"/>
      <c r="AF77" s="350"/>
      <c r="AG77" s="350"/>
      <c r="AH77" s="350"/>
      <c r="AI77" s="350"/>
    </row>
    <row r="78" spans="1:35" ht="23.25">
      <c r="A78" s="518" t="s">
        <v>7017</v>
      </c>
      <c r="B78" s="225" t="s">
        <v>4134</v>
      </c>
      <c r="C78" s="224">
        <v>2055</v>
      </c>
      <c r="D78" s="301">
        <v>150385</v>
      </c>
      <c r="E78" s="532" t="s">
        <v>6905</v>
      </c>
      <c r="F78" s="533">
        <v>2047</v>
      </c>
      <c r="G78" s="534" t="s">
        <v>7008</v>
      </c>
      <c r="H78" s="535">
        <v>135</v>
      </c>
      <c r="I78" s="536">
        <v>2047</v>
      </c>
      <c r="J78" s="535">
        <f t="shared" ref="J78" si="129">C78*D78*0.9912/(F78*1.00115)</f>
        <v>149472.27525668393</v>
      </c>
      <c r="K78" s="537">
        <f t="shared" ref="K78" si="130">J78*H78*0.99885/(I78*1.00115-H78*0.99885)</f>
        <v>10527.789856606458</v>
      </c>
      <c r="L78" s="538">
        <f t="shared" si="128"/>
        <v>160000.06511329039</v>
      </c>
      <c r="M78" s="537">
        <f>L78*$O$20*1.00115/($O$29*0.99885)</f>
        <v>1587.8068212917199</v>
      </c>
      <c r="N78" s="365"/>
      <c r="O78" t="s">
        <v>25</v>
      </c>
      <c r="P78" t="s">
        <v>25</v>
      </c>
      <c r="Q78" t="s">
        <v>25</v>
      </c>
      <c r="X78" s="453"/>
      <c r="Y78" s="453"/>
      <c r="Z78" s="453"/>
      <c r="AA78" s="453"/>
      <c r="AB78" s="453"/>
      <c r="AE78" s="350"/>
      <c r="AF78" s="350"/>
      <c r="AG78" s="350"/>
      <c r="AH78" s="350"/>
      <c r="AI78" s="350"/>
    </row>
    <row r="79" spans="1:35" ht="23.25">
      <c r="A79" s="518" t="s">
        <v>7005</v>
      </c>
      <c r="B79" s="499" t="s">
        <v>4134</v>
      </c>
      <c r="C79" s="500">
        <v>2672.619370349943</v>
      </c>
      <c r="D79" s="501">
        <v>2705.05</v>
      </c>
      <c r="E79" s="337" t="s">
        <v>5594</v>
      </c>
      <c r="F79" s="502">
        <v>146.16900000000001</v>
      </c>
      <c r="G79" s="502" t="s">
        <v>7006</v>
      </c>
      <c r="H79" s="502">
        <v>3</v>
      </c>
      <c r="I79" s="502">
        <v>129.5</v>
      </c>
      <c r="J79" s="503">
        <f t="shared" ref="J79" si="131">C79*D79*0.9912/(F79*1.003631981)</f>
        <v>48847.679168338589</v>
      </c>
      <c r="K79" s="503">
        <f t="shared" ref="K79" si="132">J79*H79*0.99885/(I79*1.003631981-H79*0.99885)</f>
        <v>1152.793117675388</v>
      </c>
      <c r="L79" s="521">
        <f t="shared" si="128"/>
        <v>50000.472286013974</v>
      </c>
      <c r="M79" s="503">
        <f>L79*1*1.00115/($O$31*0.9912)</f>
        <v>376.88353653300459</v>
      </c>
      <c r="N79" s="36" t="s">
        <v>25</v>
      </c>
      <c r="O79" t="s">
        <v>25</v>
      </c>
      <c r="Q79" t="s">
        <v>25</v>
      </c>
      <c r="S79" s="516">
        <f>SUM(S74:S76)</f>
        <v>20013086.582264997</v>
      </c>
      <c r="X79" s="453"/>
      <c r="Y79" s="453"/>
      <c r="Z79" s="453"/>
      <c r="AA79" s="453"/>
      <c r="AB79" s="453"/>
      <c r="AE79" s="350"/>
      <c r="AF79" s="350"/>
      <c r="AG79" s="350"/>
      <c r="AH79" s="350"/>
      <c r="AI79" s="350"/>
    </row>
    <row r="80" spans="1:35">
      <c r="V80" s="509"/>
      <c r="W80" s="453"/>
      <c r="X80" s="453"/>
      <c r="Y80" s="453"/>
      <c r="Z80" s="453"/>
      <c r="AC80" s="350"/>
      <c r="AD80" s="350"/>
      <c r="AE80" s="350"/>
      <c r="AF80" s="350"/>
      <c r="AG80" s="350"/>
    </row>
    <row r="81" spans="1:37" ht="18.75">
      <c r="A81" s="225"/>
      <c r="B81" s="225"/>
      <c r="C81" s="224"/>
      <c r="D81" s="301"/>
      <c r="E81" s="249"/>
      <c r="F81" s="332"/>
      <c r="G81" s="317"/>
      <c r="H81" s="337"/>
      <c r="I81" s="338"/>
      <c r="J81" s="228"/>
      <c r="K81" s="228"/>
      <c r="L81" s="228"/>
      <c r="M81" s="397" t="s">
        <v>25</v>
      </c>
      <c r="V81" s="509"/>
      <c r="W81" s="453"/>
      <c r="X81" s="453"/>
      <c r="Y81" s="453"/>
      <c r="Z81" s="453"/>
      <c r="AC81" s="350"/>
      <c r="AD81" s="350"/>
      <c r="AE81" s="350"/>
      <c r="AF81" s="350"/>
      <c r="AG81" s="350"/>
    </row>
    <row r="82" spans="1:37" ht="18.75">
      <c r="A82" s="225"/>
      <c r="B82" s="225"/>
      <c r="C82" s="224"/>
      <c r="D82" s="301"/>
      <c r="E82" s="249"/>
      <c r="F82" s="332"/>
      <c r="G82" s="317"/>
      <c r="H82" s="337"/>
      <c r="I82" s="338"/>
      <c r="J82" s="228"/>
      <c r="K82" s="228"/>
      <c r="L82" s="228"/>
      <c r="M82" s="343" t="s">
        <v>25</v>
      </c>
      <c r="N82" s="36" t="s">
        <v>25</v>
      </c>
      <c r="O82" t="s">
        <v>25</v>
      </c>
      <c r="R82" t="s">
        <v>25</v>
      </c>
      <c r="T82" t="s">
        <v>25</v>
      </c>
      <c r="V82" s="509"/>
      <c r="W82" s="453"/>
      <c r="X82" s="453"/>
      <c r="Y82" s="453"/>
      <c r="Z82" s="453"/>
      <c r="AC82" s="350"/>
      <c r="AD82" s="350"/>
      <c r="AE82" s="350"/>
      <c r="AF82" s="350"/>
      <c r="AG82" s="350"/>
    </row>
    <row r="83" spans="1:37" ht="21">
      <c r="A83" s="249"/>
      <c r="B83" s="249"/>
      <c r="C83" s="332"/>
      <c r="D83" s="317"/>
      <c r="E83" s="170"/>
      <c r="F83" s="170"/>
      <c r="G83" s="170"/>
      <c r="H83" s="170"/>
      <c r="I83" s="170"/>
      <c r="J83" s="354"/>
      <c r="K83" s="368"/>
      <c r="L83" s="354"/>
      <c r="M83" s="343" t="s">
        <v>25</v>
      </c>
      <c r="N83" t="s">
        <v>25</v>
      </c>
      <c r="O83" s="494"/>
      <c r="P83" t="s">
        <v>25</v>
      </c>
      <c r="V83" s="509"/>
      <c r="W83" s="353"/>
      <c r="X83" s="453"/>
      <c r="Y83" s="453"/>
      <c r="Z83" s="453"/>
      <c r="AC83" s="350"/>
      <c r="AD83" s="350"/>
      <c r="AE83" s="350"/>
      <c r="AF83" s="350"/>
      <c r="AG83" s="350"/>
    </row>
    <row r="84" spans="1:37" ht="21">
      <c r="A84" s="249"/>
      <c r="B84" s="249"/>
      <c r="C84" s="332"/>
      <c r="D84" s="317"/>
      <c r="E84" s="170"/>
      <c r="F84" s="170"/>
      <c r="G84" s="170"/>
      <c r="H84" s="170"/>
      <c r="I84" s="170"/>
      <c r="J84" s="354"/>
      <c r="K84" s="368"/>
      <c r="L84" s="354"/>
      <c r="M84" s="343"/>
      <c r="O84" s="397" t="s">
        <v>25</v>
      </c>
      <c r="P84" t="s">
        <v>25</v>
      </c>
      <c r="T84" t="s">
        <v>25</v>
      </c>
      <c r="W84" s="453"/>
      <c r="X84" s="453"/>
      <c r="Y84" s="453"/>
      <c r="Z84" s="453"/>
      <c r="AC84" s="350"/>
      <c r="AD84" s="350"/>
      <c r="AE84" s="350"/>
      <c r="AF84" s="350"/>
      <c r="AG84" s="350"/>
    </row>
    <row r="85" spans="1:37" ht="21">
      <c r="A85" s="225"/>
      <c r="B85" s="225"/>
      <c r="C85" s="224"/>
      <c r="D85" s="225"/>
      <c r="E85" s="313"/>
      <c r="F85" s="313"/>
      <c r="G85" s="313"/>
      <c r="H85" s="313"/>
      <c r="I85" s="313"/>
      <c r="J85" s="313"/>
      <c r="K85" s="314"/>
      <c r="L85" s="313"/>
      <c r="O85" s="494" t="s">
        <v>25</v>
      </c>
      <c r="Q85" t="s">
        <v>25</v>
      </c>
      <c r="T85" s="509"/>
      <c r="U85" s="509"/>
      <c r="V85" s="509"/>
      <c r="AG85" s="350"/>
      <c r="AH85" s="350"/>
      <c r="AI85" s="350"/>
      <c r="AJ85" s="350"/>
      <c r="AK85" s="350"/>
    </row>
    <row r="86" spans="1:37" ht="15.75">
      <c r="A86" s="225"/>
      <c r="B86" s="225"/>
      <c r="C86" s="224"/>
      <c r="D86" s="225"/>
      <c r="E86" s="381"/>
      <c r="F86" s="381"/>
      <c r="G86" s="382"/>
      <c r="H86" s="381"/>
      <c r="I86" s="381"/>
      <c r="J86" s="354"/>
      <c r="K86" s="354"/>
      <c r="L86" s="354"/>
      <c r="M86" s="349" t="s">
        <v>25</v>
      </c>
      <c r="O86" s="397" t="s">
        <v>25</v>
      </c>
      <c r="P86" t="s">
        <v>25</v>
      </c>
      <c r="Q86" t="s">
        <v>25</v>
      </c>
      <c r="U86" s="365"/>
      <c r="Y86" s="379"/>
      <c r="AD86" s="350"/>
      <c r="AE86" s="350"/>
      <c r="AF86" s="350"/>
      <c r="AG86" s="350"/>
    </row>
    <row r="87" spans="1:37" ht="15.75">
      <c r="A87" s="225"/>
      <c r="B87" s="225"/>
      <c r="C87" s="224"/>
      <c r="D87" s="225"/>
      <c r="E87" s="381"/>
      <c r="F87" s="381"/>
      <c r="G87" s="382"/>
      <c r="H87" s="381"/>
      <c r="I87" s="381"/>
      <c r="J87" s="354"/>
      <c r="K87" s="354"/>
      <c r="L87" s="354"/>
      <c r="O87" t="s">
        <v>25</v>
      </c>
      <c r="T87" t="s">
        <v>25</v>
      </c>
      <c r="U87" s="492"/>
      <c r="Y87" s="379"/>
      <c r="Z87" s="379"/>
      <c r="AA87" s="379"/>
      <c r="AB87" s="379"/>
      <c r="AC87" s="379"/>
      <c r="AD87" s="350"/>
      <c r="AE87" s="350"/>
      <c r="AF87" s="350"/>
      <c r="AG87" s="350"/>
      <c r="AK87" s="350"/>
    </row>
    <row r="88" spans="1:37" ht="21">
      <c r="A88" s="227" t="s">
        <v>6810</v>
      </c>
      <c r="B88" s="227" t="s">
        <v>5139</v>
      </c>
      <c r="C88" s="226">
        <v>528</v>
      </c>
      <c r="D88" s="298">
        <v>1</v>
      </c>
      <c r="E88" s="330" t="s">
        <v>6809</v>
      </c>
      <c r="F88" s="330">
        <v>13559.5</v>
      </c>
      <c r="G88" s="333">
        <f>C88*D88*0.9912/(F88*1.00115)</f>
        <v>3.8552486057752494E-2</v>
      </c>
      <c r="H88" s="330">
        <f>C88/F88</f>
        <v>3.8939488919207933E-2</v>
      </c>
      <c r="I88" s="330">
        <f>$O$33/$O$36</f>
        <v>4.4657515476887427E-2</v>
      </c>
      <c r="J88" s="330">
        <f>I88/H88</f>
        <v>1.1468439036152558</v>
      </c>
      <c r="K88" s="331">
        <f>(1/J88-1.015)*100</f>
        <v>-14.304175280729314</v>
      </c>
      <c r="L88" s="330"/>
      <c r="M88" t="s">
        <v>25</v>
      </c>
      <c r="O88" t="s">
        <v>25</v>
      </c>
      <c r="U88" s="492"/>
      <c r="Y88" s="379"/>
      <c r="Z88" s="379"/>
      <c r="AA88" s="379"/>
      <c r="AB88" s="379"/>
      <c r="AC88" s="379"/>
      <c r="AD88" s="350"/>
      <c r="AE88" s="350"/>
      <c r="AF88" s="350"/>
      <c r="AG88" s="350"/>
      <c r="AK88" s="365"/>
    </row>
    <row r="89" spans="1:37" ht="21">
      <c r="A89" s="227"/>
      <c r="B89" s="227"/>
      <c r="C89" s="226"/>
      <c r="D89" s="298"/>
      <c r="E89" s="330"/>
      <c r="F89" s="330"/>
      <c r="G89" s="333"/>
      <c r="H89" s="330"/>
      <c r="I89" s="330"/>
      <c r="J89" s="330"/>
      <c r="K89" s="331"/>
      <c r="L89" s="330"/>
      <c r="T89" s="530"/>
      <c r="U89" s="530"/>
      <c r="V89" s="530"/>
      <c r="W89" s="530"/>
      <c r="X89" s="530"/>
      <c r="Y89" s="379"/>
      <c r="Z89" s="379"/>
      <c r="AA89" s="379"/>
      <c r="AB89" s="379"/>
      <c r="AC89" s="379"/>
      <c r="AD89" s="350"/>
      <c r="AE89" s="350"/>
      <c r="AF89" s="350"/>
      <c r="AG89" s="350"/>
      <c r="AK89" s="350"/>
    </row>
    <row r="90" spans="1:37" ht="21">
      <c r="A90" s="249"/>
      <c r="B90" s="249"/>
      <c r="C90" s="332"/>
      <c r="D90" s="317"/>
      <c r="E90" s="330"/>
      <c r="F90" s="330"/>
      <c r="G90" s="333"/>
      <c r="H90" s="330"/>
      <c r="I90" s="330"/>
      <c r="J90" s="330"/>
      <c r="K90" s="331"/>
      <c r="L90" s="330"/>
      <c r="M90" t="s">
        <v>25</v>
      </c>
      <c r="O90" t="s">
        <v>25</v>
      </c>
      <c r="T90" s="530"/>
      <c r="U90" s="530"/>
      <c r="V90" s="530"/>
      <c r="W90" s="530"/>
      <c r="X90" s="530"/>
      <c r="Y90" s="379"/>
      <c r="Z90" s="379"/>
      <c r="AA90" s="379"/>
      <c r="AB90" s="379"/>
      <c r="AC90" s="379"/>
      <c r="AD90" s="350"/>
      <c r="AE90" s="350"/>
      <c r="AF90" s="350"/>
      <c r="AG90" s="350"/>
      <c r="AK90" s="350"/>
    </row>
    <row r="91" spans="1:37" ht="21">
      <c r="A91" s="330" t="s">
        <v>6823</v>
      </c>
      <c r="B91" s="330" t="s">
        <v>6826</v>
      </c>
      <c r="C91" s="344">
        <v>8724.2999999999993</v>
      </c>
      <c r="D91" s="333">
        <v>71134</v>
      </c>
      <c r="E91" s="301" t="s">
        <v>4134</v>
      </c>
      <c r="F91" s="301">
        <v>1719.9647014073792</v>
      </c>
      <c r="G91" s="301">
        <f t="shared" ref="G91:G111" si="133">C91*D91*0.99885/(F91*1.003631981)</f>
        <v>359098.89592002367</v>
      </c>
      <c r="H91" s="225">
        <f t="shared" ref="H91:H112" si="134">C91/F91</f>
        <v>5.0723715392887128</v>
      </c>
      <c r="I91" s="225">
        <f>$O$37/$O$32</f>
        <v>7.0974781765276429</v>
      </c>
      <c r="J91" s="28">
        <f>I91/H91</f>
        <v>1.3992425676142222</v>
      </c>
      <c r="K91" s="230">
        <f t="shared" ref="K91" si="135">(1/J91-1.015)*100</f>
        <v>-30.032763143058915</v>
      </c>
      <c r="L91" s="228"/>
      <c r="M91" t="s">
        <v>25</v>
      </c>
      <c r="N91" t="s">
        <v>25</v>
      </c>
      <c r="T91" s="530"/>
      <c r="U91" s="530"/>
      <c r="V91" s="530"/>
      <c r="W91" s="530"/>
      <c r="X91" s="530"/>
      <c r="Y91" s="379"/>
      <c r="Z91" s="365"/>
      <c r="AA91" s="379"/>
      <c r="AB91" s="379"/>
      <c r="AC91" s="379"/>
      <c r="AD91" s="350"/>
      <c r="AE91" s="350"/>
      <c r="AF91" s="350"/>
      <c r="AG91" s="350"/>
      <c r="AK91" t="s">
        <v>25</v>
      </c>
    </row>
    <row r="92" spans="1:37" ht="21">
      <c r="A92" s="330" t="s">
        <v>6823</v>
      </c>
      <c r="B92" s="330" t="s">
        <v>6809</v>
      </c>
      <c r="C92" s="344">
        <v>14116.9</v>
      </c>
      <c r="D92" s="333">
        <v>22382</v>
      </c>
      <c r="E92" s="301" t="s">
        <v>4134</v>
      </c>
      <c r="F92" s="301">
        <v>1720.6021300874859</v>
      </c>
      <c r="G92" s="301">
        <f t="shared" si="133"/>
        <v>182761.01261804847</v>
      </c>
      <c r="H92" s="225">
        <f t="shared" si="134"/>
        <v>8.2046277597495543</v>
      </c>
      <c r="I92" s="225">
        <f t="shared" ref="I92:I97" si="136">$O$36/$O$32</f>
        <v>9.0543161978661502</v>
      </c>
      <c r="J92" s="28">
        <f>I92/H92</f>
        <v>1.1035620948320186</v>
      </c>
      <c r="K92" s="230">
        <f t="shared" ref="K92" si="137">(1/J92-1.015)*100</f>
        <v>-10.884346863398065</v>
      </c>
      <c r="L92" s="228"/>
      <c r="N92" t="s">
        <v>25</v>
      </c>
      <c r="O92" t="s">
        <v>25</v>
      </c>
      <c r="P92" t="s">
        <v>25</v>
      </c>
      <c r="Y92" s="379"/>
      <c r="Z92" s="379"/>
      <c r="AA92" s="379"/>
      <c r="AB92" s="379"/>
      <c r="AC92" s="379"/>
      <c r="AD92" s="350"/>
      <c r="AE92" s="350"/>
      <c r="AF92" s="350"/>
      <c r="AG92" s="350"/>
    </row>
    <row r="93" spans="1:37" ht="21">
      <c r="A93" s="330" t="s">
        <v>6825</v>
      </c>
      <c r="B93" s="330" t="s">
        <v>6809</v>
      </c>
      <c r="C93" s="344">
        <v>14385</v>
      </c>
      <c r="D93" s="333">
        <v>15000</v>
      </c>
      <c r="E93" s="301" t="s">
        <v>4134</v>
      </c>
      <c r="F93" s="301">
        <v>1709.5837200456449</v>
      </c>
      <c r="G93" s="301">
        <f t="shared" si="133"/>
        <v>125613.56285967458</v>
      </c>
      <c r="H93" s="225">
        <f t="shared" si="134"/>
        <v>8.4143290739899701</v>
      </c>
      <c r="I93" s="225">
        <f t="shared" si="136"/>
        <v>9.0543161978661502</v>
      </c>
      <c r="J93" s="28">
        <f t="shared" ref="J93:J94" si="138">I93/H93</f>
        <v>1.0760591983328156</v>
      </c>
      <c r="K93" s="230">
        <f t="shared" ref="K93" si="139">(1/J93-1.015)*100</f>
        <v>-8.5683098523443029</v>
      </c>
      <c r="L93" s="228"/>
      <c r="M93" t="s">
        <v>25</v>
      </c>
      <c r="O93" t="s">
        <v>25</v>
      </c>
      <c r="W93" t="s">
        <v>25</v>
      </c>
      <c r="Y93" s="379"/>
      <c r="Z93" s="379"/>
      <c r="AA93" s="379"/>
      <c r="AB93" s="379"/>
      <c r="AC93" s="379"/>
      <c r="AD93" s="350"/>
      <c r="AE93" s="350"/>
      <c r="AF93" s="350"/>
      <c r="AG93" s="350"/>
    </row>
    <row r="94" spans="1:37" ht="21">
      <c r="A94" s="330" t="s">
        <v>6827</v>
      </c>
      <c r="B94" s="330" t="s">
        <v>6809</v>
      </c>
      <c r="C94" s="344">
        <v>14647</v>
      </c>
      <c r="D94" s="333">
        <v>6000</v>
      </c>
      <c r="E94" s="301" t="s">
        <v>4075</v>
      </c>
      <c r="F94" s="301">
        <v>1711.9513122860403</v>
      </c>
      <c r="G94" s="301">
        <f t="shared" si="133"/>
        <v>51089.812037703196</v>
      </c>
      <c r="H94" s="225">
        <f t="shared" si="134"/>
        <v>8.5557339714534564</v>
      </c>
      <c r="I94" s="225">
        <f t="shared" si="136"/>
        <v>9.0543161978661502</v>
      </c>
      <c r="J94" s="28">
        <f t="shared" si="138"/>
        <v>1.0582746293978089</v>
      </c>
      <c r="K94" s="230">
        <f>(1/J94-1.015)*100</f>
        <v>-7.0065696350453788</v>
      </c>
      <c r="L94" s="228"/>
      <c r="N94" t="s">
        <v>25</v>
      </c>
      <c r="O94" t="s">
        <v>25</v>
      </c>
      <c r="V94" s="379"/>
      <c r="W94" s="377"/>
      <c r="Y94" s="379"/>
      <c r="Z94" s="379"/>
      <c r="AA94" s="379"/>
      <c r="AB94" s="379"/>
      <c r="AC94" s="379"/>
    </row>
    <row r="95" spans="1:37" ht="21">
      <c r="A95" s="330" t="s">
        <v>6828</v>
      </c>
      <c r="B95" s="330" t="s">
        <v>6809</v>
      </c>
      <c r="C95" s="344">
        <v>14870</v>
      </c>
      <c r="D95" s="333">
        <v>3642</v>
      </c>
      <c r="E95" s="301" t="s">
        <v>4134</v>
      </c>
      <c r="F95" s="301">
        <v>1702.8451882845188</v>
      </c>
      <c r="G95" s="301">
        <f t="shared" si="133"/>
        <v>31652.026864165495</v>
      </c>
      <c r="H95" s="225">
        <f t="shared" si="134"/>
        <v>8.7324438547348766</v>
      </c>
      <c r="I95" s="225">
        <f t="shared" si="136"/>
        <v>9.0543161978661502</v>
      </c>
      <c r="J95" s="28">
        <f t="shared" ref="J95" si="140">I95/H95</f>
        <v>1.0368593658872194</v>
      </c>
      <c r="K95" s="230">
        <f>(1/J95-1.015)*100</f>
        <v>-5.0549050430459763</v>
      </c>
      <c r="L95" s="228"/>
      <c r="M95" t="s">
        <v>25</v>
      </c>
      <c r="N95" t="s">
        <v>25</v>
      </c>
      <c r="O95" t="s">
        <v>25</v>
      </c>
      <c r="T95" s="519"/>
      <c r="U95" s="519"/>
      <c r="V95" s="519"/>
      <c r="W95" s="519"/>
      <c r="Y95" s="379"/>
      <c r="Z95" s="379"/>
      <c r="AA95" s="379"/>
      <c r="AB95" s="379"/>
      <c r="AC95" s="379"/>
    </row>
    <row r="96" spans="1:37" ht="21">
      <c r="A96" s="330" t="s">
        <v>6828</v>
      </c>
      <c r="B96" s="330" t="s">
        <v>6809</v>
      </c>
      <c r="C96" s="344">
        <v>14870</v>
      </c>
      <c r="D96" s="333">
        <v>3721</v>
      </c>
      <c r="E96" s="345" t="s">
        <v>4134</v>
      </c>
      <c r="F96" s="301">
        <v>1702.8451882845188</v>
      </c>
      <c r="G96" s="301">
        <f t="shared" si="133"/>
        <v>32338.602954848928</v>
      </c>
      <c r="H96" s="225">
        <f t="shared" si="134"/>
        <v>8.7324438547348766</v>
      </c>
      <c r="I96" s="225">
        <f t="shared" si="136"/>
        <v>9.0543161978661502</v>
      </c>
      <c r="J96" s="28">
        <f t="shared" ref="J96" si="141">I96/H96</f>
        <v>1.0368593658872194</v>
      </c>
      <c r="K96" s="230">
        <f t="shared" ref="K96" si="142">(1/J96-1.015)*100</f>
        <v>-5.0549050430459763</v>
      </c>
      <c r="L96" s="228"/>
      <c r="N96" t="s">
        <v>25</v>
      </c>
      <c r="O96" t="s">
        <v>25</v>
      </c>
      <c r="T96" s="519"/>
      <c r="U96" s="519"/>
      <c r="V96" s="519"/>
      <c r="W96" s="519"/>
      <c r="X96" s="328"/>
      <c r="Y96" s="379"/>
      <c r="Z96" s="379"/>
      <c r="AA96" s="379"/>
      <c r="AB96" s="379"/>
      <c r="AC96" s="379"/>
      <c r="AE96" t="s">
        <v>25</v>
      </c>
    </row>
    <row r="97" spans="1:29" ht="21">
      <c r="A97" s="330" t="s">
        <v>6828</v>
      </c>
      <c r="B97" s="330" t="s">
        <v>6809</v>
      </c>
      <c r="C97" s="344">
        <v>15600</v>
      </c>
      <c r="D97" s="333">
        <v>35181</v>
      </c>
      <c r="E97" s="345" t="s">
        <v>4134</v>
      </c>
      <c r="F97" s="301">
        <v>1693.2382274629138</v>
      </c>
      <c r="G97" s="301">
        <f t="shared" si="133"/>
        <v>322582.27142649592</v>
      </c>
      <c r="H97" s="225">
        <f t="shared" si="134"/>
        <v>9.2131158787824372</v>
      </c>
      <c r="I97" s="225">
        <f t="shared" si="136"/>
        <v>9.0543161978661502</v>
      </c>
      <c r="J97" s="28">
        <f>I97/H97</f>
        <v>0.98276373780536086</v>
      </c>
      <c r="K97" s="230">
        <f>(1/J97-1.015)*100</f>
        <v>0.25385614381032706</v>
      </c>
      <c r="L97" s="228"/>
      <c r="N97" t="s">
        <v>25</v>
      </c>
      <c r="T97" s="379" t="s">
        <v>25</v>
      </c>
      <c r="U97" s="365"/>
      <c r="V97" s="379" t="s">
        <v>25</v>
      </c>
      <c r="W97" s="377"/>
      <c r="X97" s="336"/>
      <c r="Y97" s="379"/>
      <c r="Z97" s="379"/>
      <c r="AA97" s="379"/>
      <c r="AB97" s="379"/>
      <c r="AC97" s="379"/>
    </row>
    <row r="98" spans="1:29" ht="21">
      <c r="A98" s="330" t="s">
        <v>6828</v>
      </c>
      <c r="B98" s="330" t="s">
        <v>6809</v>
      </c>
      <c r="C98" s="344">
        <v>14870</v>
      </c>
      <c r="D98" s="333">
        <v>2279</v>
      </c>
      <c r="E98" s="317" t="s">
        <v>4542</v>
      </c>
      <c r="F98" s="317">
        <v>435</v>
      </c>
      <c r="G98" s="317">
        <f t="shared" si="133"/>
        <v>77533.93376708201</v>
      </c>
      <c r="H98" s="249">
        <f t="shared" si="134"/>
        <v>34.183908045977013</v>
      </c>
      <c r="I98" s="249">
        <f>$O$36/$O$34</f>
        <v>42.43181818181818</v>
      </c>
      <c r="J98" s="28">
        <f>I98/H98</f>
        <v>1.2412804915326769</v>
      </c>
      <c r="K98" s="230">
        <f>(1/J98-1.015)*100</f>
        <v>-20.938031386020949</v>
      </c>
      <c r="L98" s="228"/>
      <c r="N98" t="s">
        <v>25</v>
      </c>
      <c r="T98" s="453" t="s">
        <v>25</v>
      </c>
      <c r="U98" s="379"/>
      <c r="V98" s="379"/>
      <c r="W98" s="377"/>
      <c r="X98" s="336"/>
      <c r="Y98" s="379"/>
      <c r="Z98" s="379"/>
      <c r="AA98" s="379"/>
      <c r="AB98" s="379"/>
      <c r="AC98" s="379"/>
    </row>
    <row r="99" spans="1:29" ht="21">
      <c r="A99" s="330" t="s">
        <v>6828</v>
      </c>
      <c r="B99" s="330" t="s">
        <v>6809</v>
      </c>
      <c r="C99" s="344">
        <v>14870</v>
      </c>
      <c r="D99" s="333">
        <v>2279</v>
      </c>
      <c r="E99" s="348" t="s">
        <v>4542</v>
      </c>
      <c r="F99" s="317">
        <v>435</v>
      </c>
      <c r="G99" s="317">
        <f t="shared" si="133"/>
        <v>77533.93376708201</v>
      </c>
      <c r="H99" s="249">
        <f t="shared" si="134"/>
        <v>34.183908045977013</v>
      </c>
      <c r="I99" s="249">
        <f>$O$36/$O$34</f>
        <v>42.43181818181818</v>
      </c>
      <c r="J99" s="28">
        <f>I99/H99</f>
        <v>1.2412804915326769</v>
      </c>
      <c r="K99" s="230">
        <f t="shared" ref="K99" si="143">(1/J99-1.015)*100</f>
        <v>-20.938031386020949</v>
      </c>
      <c r="L99" s="228"/>
      <c r="N99" t="s">
        <v>25</v>
      </c>
      <c r="T99" s="453" t="s">
        <v>25</v>
      </c>
      <c r="U99" s="379" t="s">
        <v>25</v>
      </c>
      <c r="V99" s="379"/>
      <c r="W99" s="377"/>
      <c r="X99" s="336"/>
      <c r="Y99" s="379"/>
      <c r="Z99" s="379"/>
      <c r="AA99" s="379"/>
      <c r="AB99" s="379"/>
      <c r="AC99" s="379"/>
    </row>
    <row r="100" spans="1:29" ht="21">
      <c r="A100" s="330" t="s">
        <v>6828</v>
      </c>
      <c r="B100" s="330" t="s">
        <v>6809</v>
      </c>
      <c r="C100" s="344">
        <v>15600</v>
      </c>
      <c r="D100" s="333">
        <v>40264</v>
      </c>
      <c r="E100" s="348" t="s">
        <v>4542</v>
      </c>
      <c r="F100" s="317">
        <v>438</v>
      </c>
      <c r="G100" s="317">
        <f t="shared" si="133"/>
        <v>1427227.4417065773</v>
      </c>
      <c r="H100" s="249">
        <f t="shared" si="134"/>
        <v>35.61643835616438</v>
      </c>
      <c r="I100" s="249">
        <f>$O$36/$O$34</f>
        <v>42.43181818181818</v>
      </c>
      <c r="J100" s="28">
        <f>I100/H100</f>
        <v>1.1913548951048951</v>
      </c>
      <c r="K100" s="230">
        <f>(1/J100-1.015)*100</f>
        <v>-17.56195566838602</v>
      </c>
      <c r="L100" s="228"/>
      <c r="N100" t="s">
        <v>25</v>
      </c>
      <c r="O100" t="s">
        <v>25</v>
      </c>
      <c r="T100" s="453" t="s">
        <v>25</v>
      </c>
      <c r="U100" s="379"/>
      <c r="V100" s="379"/>
      <c r="X100" s="336"/>
      <c r="Y100" s="379"/>
      <c r="Z100" s="379"/>
      <c r="AA100" s="379"/>
      <c r="AB100" s="379"/>
      <c r="AC100" s="379"/>
    </row>
    <row r="101" spans="1:29" ht="21">
      <c r="A101" s="330" t="s">
        <v>6830</v>
      </c>
      <c r="B101" s="330" t="s">
        <v>6809</v>
      </c>
      <c r="C101" s="344">
        <v>16212</v>
      </c>
      <c r="D101" s="333">
        <v>224</v>
      </c>
      <c r="E101" s="348" t="s">
        <v>4542</v>
      </c>
      <c r="F101" s="317">
        <v>432</v>
      </c>
      <c r="G101" s="317">
        <f t="shared" si="133"/>
        <v>8366.1692987308925</v>
      </c>
      <c r="H101" s="249">
        <f t="shared" si="134"/>
        <v>37.527777777777779</v>
      </c>
      <c r="I101" s="249">
        <f>$O$36/$O$34</f>
        <v>42.43181818181818</v>
      </c>
      <c r="J101" s="28">
        <f>I101/H101</f>
        <v>1.1306776125428974</v>
      </c>
      <c r="K101" s="230">
        <f>(1/J101-1.015)*100</f>
        <v>-13.057459977384978</v>
      </c>
      <c r="L101" s="228"/>
      <c r="O101" t="s">
        <v>25</v>
      </c>
      <c r="T101" s="379" t="s">
        <v>25</v>
      </c>
      <c r="U101" s="379"/>
      <c r="Y101" s="379"/>
      <c r="Z101" s="379"/>
      <c r="AA101" s="379"/>
      <c r="AB101" s="379"/>
      <c r="AC101" s="379"/>
    </row>
    <row r="102" spans="1:29" ht="21">
      <c r="A102" s="330" t="s">
        <v>6830</v>
      </c>
      <c r="B102" s="330" t="s">
        <v>6809</v>
      </c>
      <c r="C102" s="344">
        <v>16756</v>
      </c>
      <c r="D102" s="333">
        <v>716</v>
      </c>
      <c r="E102" s="348" t="s">
        <v>4542</v>
      </c>
      <c r="F102" s="317">
        <v>435</v>
      </c>
      <c r="G102" s="317">
        <f t="shared" si="133"/>
        <v>27448.581090175932</v>
      </c>
      <c r="H102" s="249">
        <f t="shared" si="134"/>
        <v>38.51954022988506</v>
      </c>
      <c r="I102" s="249">
        <f>$O$36/$O$34</f>
        <v>42.43181818181818</v>
      </c>
      <c r="J102" s="28">
        <f t="shared" ref="J102" si="144">I102/H102</f>
        <v>1.1015660604613815</v>
      </c>
      <c r="K102" s="230">
        <f t="shared" ref="K102" si="145">(1/J102-1.015)*100</f>
        <v>-10.720151573918436</v>
      </c>
      <c r="L102" s="228"/>
      <c r="N102" t="s">
        <v>25</v>
      </c>
      <c r="T102" s="379" t="s">
        <v>25</v>
      </c>
      <c r="U102" s="379"/>
      <c r="Y102" s="379"/>
      <c r="Z102" s="379"/>
      <c r="AA102" s="379"/>
      <c r="AB102" s="379"/>
      <c r="AC102" s="379"/>
    </row>
    <row r="103" spans="1:29" ht="21">
      <c r="A103" s="330" t="s">
        <v>6828</v>
      </c>
      <c r="B103" s="330" t="s">
        <v>6809</v>
      </c>
      <c r="C103" s="344">
        <v>15800</v>
      </c>
      <c r="D103" s="333">
        <v>97579</v>
      </c>
      <c r="E103" s="347" t="s">
        <v>5139</v>
      </c>
      <c r="F103" s="298">
        <v>564.09649999999999</v>
      </c>
      <c r="G103" s="298">
        <f t="shared" si="133"/>
        <v>2720105.991936069</v>
      </c>
      <c r="H103" s="227">
        <f t="shared" si="134"/>
        <v>28.009392010055016</v>
      </c>
      <c r="I103" s="227">
        <f t="shared" ref="I103:I111" si="146">$O$36/$O$33</f>
        <v>22.392647448502853</v>
      </c>
      <c r="J103" s="28">
        <f t="shared" ref="J103:J112" si="147">I103/H103</f>
        <v>0.79946924376167028</v>
      </c>
      <c r="K103" s="230">
        <f t="shared" ref="K103:K107" si="148">(1/J103-1.015)*100</f>
        <v>23.582985718723904</v>
      </c>
      <c r="L103" s="228"/>
      <c r="T103" s="379"/>
      <c r="Y103" s="379"/>
      <c r="Z103" s="379"/>
      <c r="AA103" s="379"/>
      <c r="AB103" s="379"/>
      <c r="AC103" s="379"/>
    </row>
    <row r="104" spans="1:29" ht="21">
      <c r="A104" s="330" t="s">
        <v>6830</v>
      </c>
      <c r="B104" s="330" t="s">
        <v>6809</v>
      </c>
      <c r="C104" s="344">
        <v>16212</v>
      </c>
      <c r="D104" s="333">
        <v>12020</v>
      </c>
      <c r="E104" s="347" t="s">
        <v>5139</v>
      </c>
      <c r="F104" s="298">
        <v>568.19000000000005</v>
      </c>
      <c r="G104" s="298">
        <f t="shared" si="133"/>
        <v>341329.05544801702</v>
      </c>
      <c r="H104" s="227">
        <f t="shared" si="134"/>
        <v>28.53270912898854</v>
      </c>
      <c r="I104" s="227">
        <f t="shared" si="146"/>
        <v>22.392647448502853</v>
      </c>
      <c r="J104" s="28">
        <f t="shared" si="147"/>
        <v>0.7848062147646705</v>
      </c>
      <c r="K104" s="230">
        <f t="shared" si="148"/>
        <v>25.919989952533307</v>
      </c>
      <c r="L104" s="228"/>
      <c r="O104" t="s">
        <v>25</v>
      </c>
      <c r="T104" t="s">
        <v>25</v>
      </c>
      <c r="W104" s="377"/>
      <c r="X104" s="328"/>
      <c r="Y104" s="379"/>
      <c r="Z104" s="379"/>
      <c r="AA104" s="379"/>
      <c r="AB104" s="379"/>
      <c r="AC104" s="379"/>
    </row>
    <row r="105" spans="1:29" ht="21">
      <c r="A105" s="330" t="s">
        <v>6831</v>
      </c>
      <c r="B105" s="330" t="s">
        <v>6809</v>
      </c>
      <c r="C105" s="344">
        <v>16235</v>
      </c>
      <c r="D105" s="333">
        <v>6214</v>
      </c>
      <c r="E105" s="347" t="s">
        <v>5139</v>
      </c>
      <c r="F105" s="369">
        <v>556</v>
      </c>
      <c r="G105" s="369">
        <f t="shared" si="133"/>
        <v>180582.03069431783</v>
      </c>
      <c r="H105" s="366">
        <f t="shared" si="134"/>
        <v>29.199640287769785</v>
      </c>
      <c r="I105" s="366">
        <f t="shared" si="146"/>
        <v>22.392647448502853</v>
      </c>
      <c r="J105" s="354">
        <f t="shared" si="147"/>
        <v>0.76688093510117561</v>
      </c>
      <c r="K105" s="368">
        <f t="shared" si="148"/>
        <v>28.898338807062494</v>
      </c>
      <c r="L105" s="367"/>
      <c r="P105" t="s">
        <v>25</v>
      </c>
      <c r="V105" s="377"/>
      <c r="W105" s="377"/>
      <c r="X105" s="328"/>
      <c r="Y105" s="379"/>
      <c r="Z105" s="379"/>
      <c r="AA105" s="379"/>
      <c r="AB105" s="379"/>
      <c r="AC105" s="379"/>
    </row>
    <row r="106" spans="1:29" ht="21">
      <c r="A106" s="330" t="s">
        <v>6830</v>
      </c>
      <c r="B106" s="330" t="s">
        <v>6809</v>
      </c>
      <c r="C106" s="344">
        <v>16756</v>
      </c>
      <c r="D106" s="333">
        <v>31581</v>
      </c>
      <c r="E106" s="347" t="s">
        <v>5139</v>
      </c>
      <c r="F106" s="298">
        <v>560</v>
      </c>
      <c r="G106" s="298">
        <f t="shared" si="133"/>
        <v>940446.26182873116</v>
      </c>
      <c r="H106" s="227">
        <f t="shared" si="134"/>
        <v>29.921428571428571</v>
      </c>
      <c r="I106" s="227">
        <f t="shared" si="146"/>
        <v>22.392647448502853</v>
      </c>
      <c r="J106" s="28">
        <f t="shared" si="147"/>
        <v>0.74838162873965131</v>
      </c>
      <c r="K106" s="230">
        <f t="shared" si="148"/>
        <v>32.121665951915325</v>
      </c>
      <c r="L106" s="228"/>
      <c r="N106" t="s">
        <v>25</v>
      </c>
      <c r="O106" t="s">
        <v>25</v>
      </c>
      <c r="T106" t="s">
        <v>25</v>
      </c>
      <c r="U106" s="35"/>
      <c r="V106" s="377"/>
      <c r="Y106" s="379"/>
      <c r="Z106" s="379"/>
      <c r="AA106" s="379"/>
      <c r="AB106" s="379"/>
      <c r="AC106" s="379"/>
    </row>
    <row r="107" spans="1:29" ht="21">
      <c r="A107" s="330" t="s">
        <v>6831</v>
      </c>
      <c r="B107" s="330" t="s">
        <v>6809</v>
      </c>
      <c r="C107" s="344">
        <v>17050</v>
      </c>
      <c r="D107" s="333">
        <v>10193</v>
      </c>
      <c r="E107" s="347" t="s">
        <v>5139</v>
      </c>
      <c r="F107" s="298">
        <v>560</v>
      </c>
      <c r="G107" s="298">
        <f t="shared" si="133"/>
        <v>308861.7748174154</v>
      </c>
      <c r="H107" s="227">
        <f t="shared" si="134"/>
        <v>30.446428571428573</v>
      </c>
      <c r="I107" s="227">
        <f t="shared" si="146"/>
        <v>22.392647448502853</v>
      </c>
      <c r="J107" s="28">
        <f t="shared" si="147"/>
        <v>0.73547698364584146</v>
      </c>
      <c r="K107" s="230">
        <f t="shared" si="148"/>
        <v>34.466185514451929</v>
      </c>
      <c r="L107" s="228"/>
      <c r="N107" t="s">
        <v>25</v>
      </c>
      <c r="O107" t="s">
        <v>25</v>
      </c>
      <c r="T107" s="25" t="s">
        <v>25</v>
      </c>
      <c r="U107" s="377"/>
      <c r="W107" s="334"/>
      <c r="Y107" s="379"/>
      <c r="Z107" s="379"/>
      <c r="AA107" s="379"/>
      <c r="AB107" s="379"/>
      <c r="AC107" s="379"/>
    </row>
    <row r="108" spans="1:29" ht="21">
      <c r="A108" s="330" t="s">
        <v>6816</v>
      </c>
      <c r="B108" s="330" t="s">
        <v>6809</v>
      </c>
      <c r="C108" s="344">
        <v>14976</v>
      </c>
      <c r="D108" s="333">
        <v>584</v>
      </c>
      <c r="E108" s="347" t="s">
        <v>5139</v>
      </c>
      <c r="F108" s="369">
        <v>543</v>
      </c>
      <c r="G108" s="369">
        <f t="shared" si="133"/>
        <v>16030.040924111199</v>
      </c>
      <c r="H108" s="366">
        <f t="shared" si="134"/>
        <v>27.58011049723757</v>
      </c>
      <c r="I108" s="366">
        <f t="shared" si="146"/>
        <v>22.392647448502853</v>
      </c>
      <c r="J108" s="354">
        <f t="shared" ref="J108" si="149">I108/H108</f>
        <v>0.81191289827304014</v>
      </c>
      <c r="K108" s="368">
        <f t="shared" ref="K108" si="150">(1/J108-1.015)*100</f>
        <v>21.665921138465237</v>
      </c>
      <c r="L108" s="367"/>
      <c r="N108" t="s">
        <v>25</v>
      </c>
      <c r="O108" t="s">
        <v>25</v>
      </c>
      <c r="T108" s="25"/>
      <c r="U108" s="377"/>
      <c r="V108" s="365"/>
      <c r="W108" s="334"/>
      <c r="Y108" s="379"/>
      <c r="Z108" s="379"/>
      <c r="AA108" s="379"/>
      <c r="AB108" s="379"/>
      <c r="AC108" s="379"/>
    </row>
    <row r="109" spans="1:29" ht="21">
      <c r="A109" s="330" t="s">
        <v>6816</v>
      </c>
      <c r="B109" s="330" t="s">
        <v>6809</v>
      </c>
      <c r="C109" s="344">
        <v>14969</v>
      </c>
      <c r="D109" s="333">
        <v>43109</v>
      </c>
      <c r="E109" s="347" t="s">
        <v>5139</v>
      </c>
      <c r="F109" s="369">
        <v>541</v>
      </c>
      <c r="G109" s="369">
        <f t="shared" si="133"/>
        <v>1187105.3276976866</v>
      </c>
      <c r="H109" s="366">
        <f t="shared" si="134"/>
        <v>27.669131238447321</v>
      </c>
      <c r="I109" s="366">
        <f t="shared" si="146"/>
        <v>22.392647448502853</v>
      </c>
      <c r="J109" s="354">
        <f t="shared" ref="J109" si="151">I109/H109</f>
        <v>0.80930070610194693</v>
      </c>
      <c r="K109" s="368">
        <f t="shared" ref="K109" si="152">(1/J109-1.015)*100</f>
        <v>22.063465651299087</v>
      </c>
      <c r="L109" s="367"/>
      <c r="N109" t="s">
        <v>25</v>
      </c>
      <c r="T109" s="365" t="s">
        <v>25</v>
      </c>
      <c r="V109" s="365"/>
      <c r="W109" s="334"/>
      <c r="Y109" s="379"/>
      <c r="Z109" s="379"/>
      <c r="AA109" s="379"/>
      <c r="AB109" s="379"/>
      <c r="AC109" s="379"/>
    </row>
    <row r="110" spans="1:29" ht="21">
      <c r="A110" s="330" t="s">
        <v>6837</v>
      </c>
      <c r="B110" s="330" t="s">
        <v>6809</v>
      </c>
      <c r="C110" s="344">
        <v>14870</v>
      </c>
      <c r="D110" s="333">
        <v>43136</v>
      </c>
      <c r="E110" s="347" t="s">
        <v>5139</v>
      </c>
      <c r="F110" s="369">
        <v>541.11710000000005</v>
      </c>
      <c r="G110" s="369">
        <f t="shared" si="133"/>
        <v>1179737.4412215259</v>
      </c>
      <c r="H110" s="366">
        <f t="shared" si="134"/>
        <v>27.480188668959084</v>
      </c>
      <c r="I110" s="366">
        <f t="shared" si="146"/>
        <v>22.392647448502853</v>
      </c>
      <c r="J110" s="354">
        <f t="shared" ref="J110:J111" si="153">I110/H110</f>
        <v>0.81486512768367614</v>
      </c>
      <c r="K110" s="368">
        <f t="shared" ref="K110:K111" si="154">(1/J110-1.015)*100</f>
        <v>21.219695079182689</v>
      </c>
      <c r="L110" s="367"/>
      <c r="O110" t="s">
        <v>25</v>
      </c>
      <c r="T110" s="365" t="s">
        <v>25</v>
      </c>
      <c r="U110" s="365" t="s">
        <v>25</v>
      </c>
      <c r="V110" s="365"/>
      <c r="X110" s="196"/>
      <c r="Y110" s="379"/>
      <c r="Z110" s="379"/>
      <c r="AA110" s="379"/>
      <c r="AB110" s="379"/>
      <c r="AC110" s="379"/>
    </row>
    <row r="111" spans="1:29" ht="21">
      <c r="A111" s="330" t="s">
        <v>6837</v>
      </c>
      <c r="B111" s="330" t="s">
        <v>6809</v>
      </c>
      <c r="C111" s="344">
        <v>14920</v>
      </c>
      <c r="D111" s="333">
        <v>109651</v>
      </c>
      <c r="E111" s="347" t="s">
        <v>5139</v>
      </c>
      <c r="F111" s="369">
        <v>541.15419999999995</v>
      </c>
      <c r="G111" s="369">
        <f t="shared" si="133"/>
        <v>3008750.4525413048</v>
      </c>
      <c r="H111" s="366">
        <f t="shared" si="134"/>
        <v>27.570699811624859</v>
      </c>
      <c r="I111" s="366">
        <f t="shared" si="146"/>
        <v>22.392647448502853</v>
      </c>
      <c r="J111" s="354">
        <f t="shared" si="153"/>
        <v>0.81219002787376682</v>
      </c>
      <c r="K111" s="368">
        <f t="shared" si="154"/>
        <v>21.623895354625478</v>
      </c>
      <c r="L111" s="367"/>
      <c r="O111" t="s">
        <v>25</v>
      </c>
      <c r="T111" s="365" t="s">
        <v>25</v>
      </c>
      <c r="U111" s="365"/>
      <c r="V111" s="365"/>
      <c r="Y111" s="379"/>
      <c r="Z111" s="379"/>
      <c r="AA111" s="379"/>
      <c r="AB111" s="379"/>
      <c r="AC111" s="379"/>
    </row>
    <row r="112" spans="1:29" ht="21">
      <c r="A112" s="330" t="s">
        <v>6828</v>
      </c>
      <c r="B112" s="330" t="s">
        <v>6809</v>
      </c>
      <c r="C112" s="344">
        <v>15990</v>
      </c>
      <c r="D112" s="333">
        <v>1</v>
      </c>
      <c r="E112" s="346" t="s">
        <v>6829</v>
      </c>
      <c r="F112" s="333">
        <v>10912</v>
      </c>
      <c r="G112" s="333">
        <f>C112*D112*0.99885/(F112*1.00115)</f>
        <v>1.4619927827133694</v>
      </c>
      <c r="H112" s="330">
        <f t="shared" si="134"/>
        <v>1.4653592375366569</v>
      </c>
      <c r="I112" s="330">
        <f>$O$36/$O$39</f>
        <v>1.2045161290322581</v>
      </c>
      <c r="J112" s="28">
        <f t="shared" si="147"/>
        <v>0.82199374609130715</v>
      </c>
      <c r="K112" s="230">
        <f>(1/J112-1.0046)*100</f>
        <v>21.195426790670481</v>
      </c>
      <c r="L112" s="228"/>
      <c r="N112" t="s">
        <v>25</v>
      </c>
      <c r="R112" t="s">
        <v>25</v>
      </c>
      <c r="T112" s="365" t="s">
        <v>25</v>
      </c>
      <c r="U112" s="365"/>
      <c r="V112" s="365"/>
      <c r="Y112" s="379"/>
      <c r="Z112" s="379"/>
      <c r="AA112" s="379"/>
      <c r="AB112" s="379"/>
      <c r="AC112" s="379"/>
    </row>
    <row r="113" spans="1:35" ht="21">
      <c r="A113" s="330"/>
      <c r="B113" s="330"/>
      <c r="C113" s="344"/>
      <c r="D113" s="333"/>
      <c r="E113" s="345"/>
      <c r="F113" s="301"/>
      <c r="G113" s="301"/>
      <c r="H113" s="225"/>
      <c r="I113" s="225"/>
      <c r="J113" s="28"/>
      <c r="K113" s="230"/>
      <c r="L113" s="228"/>
      <c r="T113" s="365"/>
      <c r="U113" s="365"/>
      <c r="V113" s="365"/>
      <c r="Y113" s="379"/>
      <c r="Z113" s="379"/>
      <c r="AA113" s="379"/>
      <c r="AB113" s="379"/>
      <c r="AC113" s="379"/>
    </row>
    <row r="114" spans="1:35" ht="21">
      <c r="A114" s="330"/>
      <c r="B114" s="330"/>
      <c r="C114" s="344"/>
      <c r="D114" s="333"/>
      <c r="E114" s="339"/>
      <c r="F114" s="339"/>
      <c r="G114" s="329"/>
      <c r="H114" s="339"/>
      <c r="I114" s="339"/>
      <c r="J114" s="339"/>
      <c r="K114" s="340"/>
      <c r="L114" s="339"/>
      <c r="N114" t="s">
        <v>25</v>
      </c>
      <c r="P114" t="s">
        <v>25</v>
      </c>
      <c r="T114" s="365"/>
      <c r="U114" s="365"/>
      <c r="V114" s="365"/>
      <c r="Y114" s="379"/>
      <c r="Z114" s="379"/>
      <c r="AA114" s="379"/>
      <c r="AB114" s="379"/>
      <c r="AC114" s="379"/>
    </row>
    <row r="115" spans="1:35" ht="27" customHeight="1">
      <c r="A115" s="225" t="s">
        <v>6771</v>
      </c>
      <c r="B115" s="225" t="s">
        <v>4134</v>
      </c>
      <c r="C115" s="224">
        <v>1196.5446937999241</v>
      </c>
      <c r="D115" s="225">
        <v>1.0981620718462823</v>
      </c>
      <c r="E115" s="313" t="s">
        <v>4400</v>
      </c>
      <c r="F115" s="313">
        <v>785.87</v>
      </c>
      <c r="G115" s="313">
        <f>C115*D115*0.9912/(F115*1.003631981)</f>
        <v>1.6513208201489087</v>
      </c>
      <c r="H115" s="313">
        <f>C115/F115</f>
        <v>1.5225733184876939</v>
      </c>
      <c r="I115" s="313" t="e">
        <f>$O$32/#REF!</f>
        <v>#REF!</v>
      </c>
      <c r="J115" s="313" t="e">
        <f>I115/H115</f>
        <v>#REF!</v>
      </c>
      <c r="K115" s="314" t="e">
        <f>(1/J115-1.0256)*100</f>
        <v>#REF!</v>
      </c>
      <c r="L115" s="313"/>
      <c r="P115" t="s">
        <v>25</v>
      </c>
      <c r="T115" s="365"/>
      <c r="U115" s="365"/>
      <c r="V115" s="365"/>
      <c r="Y115" s="379"/>
      <c r="Z115" s="379"/>
      <c r="AA115" s="379"/>
      <c r="AB115" s="379"/>
      <c r="AC115" s="379"/>
    </row>
    <row r="116" spans="1:35" ht="21">
      <c r="A116" s="225"/>
      <c r="B116" s="225"/>
      <c r="C116" s="224"/>
      <c r="D116" s="225"/>
      <c r="E116" s="313"/>
      <c r="F116" s="313"/>
      <c r="G116" s="313"/>
      <c r="H116" s="313"/>
      <c r="I116" s="313"/>
      <c r="J116" s="313"/>
      <c r="K116" s="314"/>
      <c r="L116" s="313"/>
      <c r="O116" t="s">
        <v>5357</v>
      </c>
      <c r="T116" s="365" t="s">
        <v>25</v>
      </c>
      <c r="U116" s="365"/>
      <c r="V116" s="365"/>
      <c r="Y116" s="379"/>
      <c r="Z116" s="379"/>
      <c r="AA116" s="379"/>
      <c r="AB116" s="379"/>
      <c r="AC116" s="379"/>
      <c r="AG116" s="379"/>
      <c r="AH116" s="379"/>
      <c r="AI116" s="379"/>
    </row>
    <row r="117" spans="1:35">
      <c r="A117" s="306" t="s">
        <v>5281</v>
      </c>
      <c r="B117" s="28"/>
      <c r="C117" s="1"/>
      <c r="D117" s="28"/>
      <c r="E117" s="28"/>
      <c r="F117" s="1"/>
      <c r="G117" s="28"/>
      <c r="H117" s="28"/>
      <c r="I117" s="28"/>
      <c r="J117" s="28"/>
      <c r="K117" s="28"/>
      <c r="L117" s="28"/>
      <c r="O117" t="s">
        <v>5358</v>
      </c>
      <c r="T117" s="365"/>
      <c r="U117" s="365"/>
      <c r="Y117" s="379"/>
      <c r="Z117" s="379"/>
      <c r="AA117" s="379"/>
      <c r="AB117" s="379"/>
      <c r="AC117" s="379"/>
      <c r="AG117" s="379"/>
      <c r="AH117" s="379"/>
      <c r="AI117" s="379"/>
    </row>
    <row r="118" spans="1:35" ht="15.75">
      <c r="A118" s="229" t="s">
        <v>6692</v>
      </c>
      <c r="B118" s="225" t="s">
        <v>4134</v>
      </c>
      <c r="C118" s="224">
        <v>1321.2985926207684</v>
      </c>
      <c r="D118" s="301">
        <v>19427.703263528358</v>
      </c>
      <c r="E118" s="227" t="s">
        <v>5139</v>
      </c>
      <c r="F118" s="226">
        <v>486.84610260918487</v>
      </c>
      <c r="G118" s="298">
        <f t="shared" ref="G118:G144" si="155">C118*D118*0.9912/(F118*1.003631981)</f>
        <v>52073.592214102442</v>
      </c>
      <c r="H118" s="227">
        <f t="shared" ref="H118:H144" si="156">C118/F118</f>
        <v>2.7139964468020796</v>
      </c>
      <c r="I118" s="227">
        <f t="shared" ref="I118:I144" si="157">$O$32/$O$33</f>
        <v>2.4731461724056176</v>
      </c>
      <c r="J118" s="227">
        <f>I118/H118</f>
        <v>0.91125623075879203</v>
      </c>
      <c r="K118" s="227">
        <f>(1/J118-1.0256)*100</f>
        <v>7.1786186503561167</v>
      </c>
      <c r="L118" s="227"/>
      <c r="O118" t="s">
        <v>5359</v>
      </c>
      <c r="T118" s="365"/>
      <c r="U118" s="365"/>
      <c r="Y118" s="379"/>
      <c r="Z118" s="379"/>
      <c r="AA118" s="379"/>
      <c r="AB118" s="379"/>
      <c r="AC118" s="379"/>
      <c r="AG118" s="379"/>
      <c r="AH118" s="379"/>
      <c r="AI118" s="379"/>
    </row>
    <row r="119" spans="1:35" ht="15.75">
      <c r="A119" s="229" t="s">
        <v>6696</v>
      </c>
      <c r="B119" s="225" t="s">
        <v>4134</v>
      </c>
      <c r="C119" s="224">
        <v>1322.2092050209205</v>
      </c>
      <c r="D119" s="301">
        <v>19425.955821644486</v>
      </c>
      <c r="E119" s="227" t="s">
        <v>5139</v>
      </c>
      <c r="F119" s="226">
        <v>486.84610260918487</v>
      </c>
      <c r="G119" s="298">
        <f t="shared" si="155"/>
        <v>52104.793252817217</v>
      </c>
      <c r="H119" s="227">
        <f t="shared" si="156"/>
        <v>2.7158668785366089</v>
      </c>
      <c r="I119" s="227">
        <f t="shared" si="157"/>
        <v>2.4731461724056176</v>
      </c>
      <c r="J119" s="227">
        <f>I119/H119</f>
        <v>0.91062864382300779</v>
      </c>
      <c r="K119" s="227">
        <f>(1/J119-1.0256)*100</f>
        <v>7.2542482979442324</v>
      </c>
      <c r="L119" s="227"/>
      <c r="N119" t="s">
        <v>25</v>
      </c>
      <c r="O119" t="s">
        <v>5360</v>
      </c>
      <c r="T119" s="365"/>
      <c r="Y119" s="379"/>
      <c r="Z119" s="379"/>
      <c r="AA119" s="379"/>
      <c r="AB119" s="379"/>
      <c r="AC119" s="379"/>
      <c r="AG119" s="379"/>
      <c r="AH119" s="379"/>
      <c r="AI119" s="379"/>
    </row>
    <row r="120" spans="1:35" ht="15.75">
      <c r="A120" s="229" t="s">
        <v>6696</v>
      </c>
      <c r="B120" s="225" t="s">
        <v>4134</v>
      </c>
      <c r="C120" s="224">
        <v>1323.1198174210726</v>
      </c>
      <c r="D120" s="301">
        <v>19424.208379760723</v>
      </c>
      <c r="E120" s="227" t="s">
        <v>5139</v>
      </c>
      <c r="F120" s="226">
        <v>486.84610260918487</v>
      </c>
      <c r="G120" s="298">
        <f t="shared" si="155"/>
        <v>52135.987835563828</v>
      </c>
      <c r="H120" s="227">
        <f t="shared" si="156"/>
        <v>2.7177373102711382</v>
      </c>
      <c r="I120" s="227">
        <f t="shared" si="157"/>
        <v>2.4731461724056176</v>
      </c>
      <c r="J120" s="227">
        <f t="shared" ref="J120:J136" si="158">I120/H120</f>
        <v>0.91000192073710073</v>
      </c>
      <c r="K120" s="227">
        <f t="shared" ref="K120:K136" si="159">(1/J120-1.0256)*100</f>
        <v>7.3298779455323482</v>
      </c>
      <c r="L120" s="227"/>
      <c r="O120" t="s">
        <v>5361</v>
      </c>
      <c r="T120" t="s">
        <v>25</v>
      </c>
      <c r="Y120" s="379"/>
      <c r="Z120" s="379"/>
      <c r="AA120" s="379"/>
      <c r="AB120" s="379"/>
      <c r="AC120" s="379"/>
      <c r="AG120" s="379"/>
      <c r="AH120" s="379"/>
      <c r="AI120" s="379"/>
    </row>
    <row r="121" spans="1:35" ht="15.75">
      <c r="A121" s="229" t="s">
        <v>6696</v>
      </c>
      <c r="B121" s="225" t="s">
        <v>4134</v>
      </c>
      <c r="C121" s="224">
        <v>1324.0304298212247</v>
      </c>
      <c r="D121" s="301">
        <v>19422.460937876847</v>
      </c>
      <c r="E121" s="227" t="s">
        <v>5139</v>
      </c>
      <c r="F121" s="226">
        <v>486.84610260918487</v>
      </c>
      <c r="G121" s="298">
        <f t="shared" si="155"/>
        <v>52167.175962341658</v>
      </c>
      <c r="H121" s="227">
        <f t="shared" si="156"/>
        <v>2.7196077420056675</v>
      </c>
      <c r="I121" s="227">
        <f t="shared" si="157"/>
        <v>2.4731461724056176</v>
      </c>
      <c r="J121" s="227">
        <f t="shared" si="158"/>
        <v>0.90937605971871205</v>
      </c>
      <c r="K121" s="227">
        <f t="shared" si="159"/>
        <v>7.4055075931204639</v>
      </c>
      <c r="L121" s="227"/>
      <c r="O121" t="s">
        <v>5362</v>
      </c>
      <c r="T121" s="365" t="s">
        <v>25</v>
      </c>
      <c r="Z121" s="379"/>
      <c r="AA121" s="379"/>
      <c r="AB121" s="379"/>
      <c r="AC121" s="379"/>
      <c r="AG121" s="379"/>
      <c r="AH121" s="379"/>
      <c r="AI121" s="379"/>
    </row>
    <row r="122" spans="1:35" ht="15.75">
      <c r="A122" s="229" t="s">
        <v>6696</v>
      </c>
      <c r="B122" s="225" t="s">
        <v>4134</v>
      </c>
      <c r="C122" s="224">
        <v>1324.9410422213771</v>
      </c>
      <c r="D122" s="301">
        <v>19420.713495993088</v>
      </c>
      <c r="E122" s="227" t="s">
        <v>5139</v>
      </c>
      <c r="F122" s="226">
        <v>486.84610260918487</v>
      </c>
      <c r="G122" s="298">
        <f t="shared" si="155"/>
        <v>52198.357633151354</v>
      </c>
      <c r="H122" s="227">
        <f t="shared" si="156"/>
        <v>2.7214781737401972</v>
      </c>
      <c r="I122" s="227">
        <f t="shared" si="157"/>
        <v>2.4731461724056176</v>
      </c>
      <c r="J122" s="227">
        <f t="shared" si="158"/>
        <v>0.908751058990383</v>
      </c>
      <c r="K122" s="227">
        <f t="shared" si="159"/>
        <v>7.4811372407085797</v>
      </c>
      <c r="L122" s="227"/>
      <c r="T122" s="365" t="s">
        <v>25</v>
      </c>
      <c r="U122" s="196"/>
    </row>
    <row r="123" spans="1:35" ht="15.75">
      <c r="A123" s="229" t="s">
        <v>6696</v>
      </c>
      <c r="B123" s="225" t="s">
        <v>4134</v>
      </c>
      <c r="C123" s="224">
        <v>1325.8516546215292</v>
      </c>
      <c r="D123" s="301">
        <v>19418.966054109322</v>
      </c>
      <c r="E123" s="227" t="s">
        <v>5139</v>
      </c>
      <c r="F123" s="226">
        <v>486.84610260918487</v>
      </c>
      <c r="G123" s="298">
        <f t="shared" si="155"/>
        <v>52229.532847992545</v>
      </c>
      <c r="H123" s="227">
        <f t="shared" si="156"/>
        <v>2.7233486054747265</v>
      </c>
      <c r="I123" s="227">
        <f t="shared" si="157"/>
        <v>2.4731461724056176</v>
      </c>
      <c r="J123" s="227">
        <f t="shared" si="158"/>
        <v>0.90812691677953794</v>
      </c>
      <c r="K123" s="227">
        <f t="shared" si="159"/>
        <v>7.5567668882966954</v>
      </c>
      <c r="L123" s="227"/>
      <c r="O123" t="s">
        <v>25</v>
      </c>
      <c r="T123" s="365"/>
      <c r="U123" t="s">
        <v>25</v>
      </c>
      <c r="AI123" s="365"/>
    </row>
    <row r="124" spans="1:35" ht="15.75">
      <c r="A124" s="229" t="s">
        <v>6696</v>
      </c>
      <c r="B124" s="225" t="s">
        <v>4134</v>
      </c>
      <c r="C124" s="224">
        <v>1326.7622670216813</v>
      </c>
      <c r="D124" s="301">
        <v>19417.21861222545</v>
      </c>
      <c r="E124" s="227" t="s">
        <v>5139</v>
      </c>
      <c r="F124" s="226">
        <v>486.84610260918487</v>
      </c>
      <c r="G124" s="298">
        <f t="shared" si="155"/>
        <v>52260.701606864997</v>
      </c>
      <c r="H124" s="227">
        <f t="shared" si="156"/>
        <v>2.7252190372092557</v>
      </c>
      <c r="I124" s="227">
        <f t="shared" si="157"/>
        <v>2.4731461724056176</v>
      </c>
      <c r="J124" s="227">
        <f t="shared" si="158"/>
        <v>0.90750363131846756</v>
      </c>
      <c r="K124" s="227">
        <f t="shared" si="159"/>
        <v>7.6323965358848112</v>
      </c>
      <c r="L124" s="227"/>
      <c r="T124" s="365"/>
      <c r="U124" t="s">
        <v>25</v>
      </c>
      <c r="Y124" t="s">
        <v>25</v>
      </c>
      <c r="AH124" t="s">
        <v>25</v>
      </c>
    </row>
    <row r="125" spans="1:35" ht="15.75">
      <c r="A125" s="229" t="s">
        <v>6696</v>
      </c>
      <c r="B125" s="225" t="s">
        <v>4134</v>
      </c>
      <c r="C125" s="224">
        <v>1327.6728794218334</v>
      </c>
      <c r="D125" s="301">
        <v>19415.471170341687</v>
      </c>
      <c r="E125" s="227" t="s">
        <v>5139</v>
      </c>
      <c r="F125" s="226">
        <v>486.84610260918487</v>
      </c>
      <c r="G125" s="298">
        <f t="shared" si="155"/>
        <v>52291.863909769265</v>
      </c>
      <c r="H125" s="227">
        <f t="shared" si="156"/>
        <v>2.727089468943785</v>
      </c>
      <c r="I125" s="227">
        <f t="shared" si="157"/>
        <v>2.4731461724056176</v>
      </c>
      <c r="J125" s="227">
        <f t="shared" si="158"/>
        <v>0.90688120084431234</v>
      </c>
      <c r="K125" s="227">
        <f t="shared" si="159"/>
        <v>7.7080261834729269</v>
      </c>
      <c r="L125" s="227"/>
      <c r="O125" t="s">
        <v>25</v>
      </c>
      <c r="T125" s="365"/>
      <c r="U125" t="s">
        <v>25</v>
      </c>
      <c r="V125" t="s">
        <v>25</v>
      </c>
      <c r="X125" s="202" t="s">
        <v>5472</v>
      </c>
    </row>
    <row r="126" spans="1:35" ht="15.75">
      <c r="A126" s="229" t="s">
        <v>6696</v>
      </c>
      <c r="B126" s="225" t="s">
        <v>4134</v>
      </c>
      <c r="C126" s="224">
        <v>1339.5108406238114</v>
      </c>
      <c r="D126" s="301">
        <v>19415.316517360377</v>
      </c>
      <c r="E126" s="227" t="s">
        <v>5139</v>
      </c>
      <c r="F126" s="226">
        <v>491.15716618608906</v>
      </c>
      <c r="G126" s="298">
        <f t="shared" si="155"/>
        <v>52294.621540621032</v>
      </c>
      <c r="H126" s="227">
        <f t="shared" si="156"/>
        <v>2.7272550068348167</v>
      </c>
      <c r="I126" s="227">
        <f t="shared" si="157"/>
        <v>2.4731461724056176</v>
      </c>
      <c r="J126" s="227">
        <f t="shared" si="158"/>
        <v>0.90682615531280608</v>
      </c>
      <c r="K126" s="227">
        <f t="shared" si="159"/>
        <v>7.7147195966192461</v>
      </c>
      <c r="L126" s="227"/>
      <c r="T126" s="365"/>
    </row>
    <row r="127" spans="1:35" ht="15.75">
      <c r="A127" s="229" t="s">
        <v>6696</v>
      </c>
      <c r="B127" s="225" t="s">
        <v>4134</v>
      </c>
      <c r="C127" s="224">
        <v>1328.5834918219855</v>
      </c>
      <c r="D127" s="301">
        <v>19413.723728457924</v>
      </c>
      <c r="E127" s="227" t="s">
        <v>5139</v>
      </c>
      <c r="F127" s="226">
        <v>486.84610260918487</v>
      </c>
      <c r="G127" s="298">
        <f t="shared" si="155"/>
        <v>52323.019756705064</v>
      </c>
      <c r="H127" s="227">
        <f t="shared" si="156"/>
        <v>2.7289599006783143</v>
      </c>
      <c r="I127" s="227">
        <f t="shared" si="157"/>
        <v>2.4731461724056176</v>
      </c>
      <c r="J127" s="227">
        <f t="shared" si="158"/>
        <v>0.90625962359904544</v>
      </c>
      <c r="K127" s="227">
        <f t="shared" si="159"/>
        <v>7.7836558310610426</v>
      </c>
      <c r="L127" s="227"/>
      <c r="O127" t="s">
        <v>25</v>
      </c>
      <c r="T127" s="365" t="s">
        <v>25</v>
      </c>
    </row>
    <row r="128" spans="1:35" ht="15.75">
      <c r="A128" s="229" t="s">
        <v>6696</v>
      </c>
      <c r="B128" s="225" t="s">
        <v>4134</v>
      </c>
      <c r="C128" s="224">
        <v>1340.4214530239635</v>
      </c>
      <c r="D128" s="301">
        <v>19413.584413404144</v>
      </c>
      <c r="E128" s="227" t="s">
        <v>5139</v>
      </c>
      <c r="F128" s="226">
        <v>491.15716618608906</v>
      </c>
      <c r="G128" s="298">
        <f t="shared" si="155"/>
        <v>52325.503383182368</v>
      </c>
      <c r="H128" s="227">
        <f t="shared" si="156"/>
        <v>2.7291090211154656</v>
      </c>
      <c r="I128" s="227">
        <f t="shared" si="157"/>
        <v>2.4731461724056176</v>
      </c>
      <c r="J128" s="227">
        <f t="shared" si="158"/>
        <v>0.90621010493555565</v>
      </c>
      <c r="K128" s="227">
        <f t="shared" si="159"/>
        <v>7.789685415515657</v>
      </c>
      <c r="L128" s="227"/>
      <c r="M128" t="s">
        <v>25</v>
      </c>
      <c r="O128" t="s">
        <v>25</v>
      </c>
      <c r="T128" s="36" t="s">
        <v>25</v>
      </c>
      <c r="U128" t="s">
        <v>25</v>
      </c>
    </row>
    <row r="129" spans="1:23" ht="15.75">
      <c r="A129" s="229" t="s">
        <v>6696</v>
      </c>
      <c r="B129" s="225" t="s">
        <v>4134</v>
      </c>
      <c r="C129" s="224">
        <v>1329.4941042221378</v>
      </c>
      <c r="D129" s="301">
        <v>19411.976286574052</v>
      </c>
      <c r="E129" s="227" t="s">
        <v>5139</v>
      </c>
      <c r="F129" s="226">
        <v>486.84610260918487</v>
      </c>
      <c r="G129" s="298">
        <f t="shared" si="155"/>
        <v>52354.169147672117</v>
      </c>
      <c r="H129" s="227">
        <f t="shared" si="156"/>
        <v>2.730830332412844</v>
      </c>
      <c r="I129" s="227">
        <f t="shared" si="157"/>
        <v>2.4731461724056176</v>
      </c>
      <c r="J129" s="227">
        <f t="shared" si="158"/>
        <v>0.90563889782945695</v>
      </c>
      <c r="K129" s="227">
        <f t="shared" si="159"/>
        <v>7.8592854786491584</v>
      </c>
      <c r="L129" s="227"/>
      <c r="T129" s="36" t="s">
        <v>25</v>
      </c>
      <c r="U129" t="s">
        <v>25</v>
      </c>
    </row>
    <row r="130" spans="1:23" ht="15.75">
      <c r="A130" s="229" t="s">
        <v>6696</v>
      </c>
      <c r="B130" s="225" t="s">
        <v>4134</v>
      </c>
      <c r="C130" s="224">
        <v>1341.3320654241156</v>
      </c>
      <c r="D130" s="301">
        <v>19411.852309447906</v>
      </c>
      <c r="E130" s="227" t="s">
        <v>5139</v>
      </c>
      <c r="F130" s="226">
        <v>491.15716618608906</v>
      </c>
      <c r="G130" s="298">
        <f t="shared" si="155"/>
        <v>52356.378882610574</v>
      </c>
      <c r="H130" s="227">
        <f t="shared" si="156"/>
        <v>2.7309630353961145</v>
      </c>
      <c r="I130" s="227">
        <f t="shared" si="157"/>
        <v>2.4731461724056176</v>
      </c>
      <c r="J130" s="227">
        <f t="shared" si="158"/>
        <v>0.90559489101502921</v>
      </c>
      <c r="K130" s="227">
        <f t="shared" si="159"/>
        <v>7.8646512344120456</v>
      </c>
      <c r="L130" s="227"/>
      <c r="T130" s="365" t="s">
        <v>25</v>
      </c>
    </row>
    <row r="131" spans="1:23" ht="15.75">
      <c r="A131" s="229" t="s">
        <v>6696</v>
      </c>
      <c r="B131" s="225" t="s">
        <v>4134</v>
      </c>
      <c r="C131" s="224">
        <v>1330.4047166222899</v>
      </c>
      <c r="D131" s="301">
        <v>19410.228844690289</v>
      </c>
      <c r="E131" s="227" t="s">
        <v>5139</v>
      </c>
      <c r="F131" s="226">
        <v>486.84610260918487</v>
      </c>
      <c r="G131" s="298">
        <f t="shared" si="155"/>
        <v>52385.312082670993</v>
      </c>
      <c r="H131" s="227">
        <f t="shared" si="156"/>
        <v>2.7327007641473733</v>
      </c>
      <c r="I131" s="227">
        <f t="shared" si="157"/>
        <v>2.4731461724056176</v>
      </c>
      <c r="J131" s="227">
        <f t="shared" si="158"/>
        <v>0.905019021787137</v>
      </c>
      <c r="K131" s="227">
        <f t="shared" si="159"/>
        <v>7.9349151262372741</v>
      </c>
      <c r="L131" s="227"/>
      <c r="M131" t="s">
        <v>25</v>
      </c>
    </row>
    <row r="132" spans="1:23" ht="15.75">
      <c r="A132" s="229" t="s">
        <v>6696</v>
      </c>
      <c r="B132" s="225" t="s">
        <v>4134</v>
      </c>
      <c r="C132" s="224">
        <v>1331.315329022442</v>
      </c>
      <c r="D132" s="301">
        <v>19408.481402806523</v>
      </c>
      <c r="E132" s="227" t="s">
        <v>5139</v>
      </c>
      <c r="F132" s="226">
        <v>486.84610260918487</v>
      </c>
      <c r="G132" s="298">
        <f t="shared" si="155"/>
        <v>52416.448561701378</v>
      </c>
      <c r="H132" s="227">
        <f t="shared" si="156"/>
        <v>2.7345711958819026</v>
      </c>
      <c r="I132" s="227">
        <f t="shared" si="157"/>
        <v>2.4731461724056176</v>
      </c>
      <c r="J132" s="227">
        <f t="shared" si="158"/>
        <v>0.90439999372845914</v>
      </c>
      <c r="K132" s="227">
        <f t="shared" si="159"/>
        <v>8.0105447738253908</v>
      </c>
      <c r="L132" s="227"/>
      <c r="M132" t="s">
        <v>25</v>
      </c>
      <c r="N132" t="s">
        <v>25</v>
      </c>
    </row>
    <row r="133" spans="1:23" ht="15.75">
      <c r="A133" s="229" t="s">
        <v>6696</v>
      </c>
      <c r="B133" s="225" t="s">
        <v>4134</v>
      </c>
      <c r="C133" s="224">
        <v>1342.2426778242677</v>
      </c>
      <c r="D133" s="301">
        <v>19410.120205491785</v>
      </c>
      <c r="E133" s="227" t="s">
        <v>5139</v>
      </c>
      <c r="F133" s="226">
        <v>491.15716618608906</v>
      </c>
      <c r="G133" s="298">
        <f t="shared" si="155"/>
        <v>52387.248038905978</v>
      </c>
      <c r="H133" s="227">
        <f t="shared" si="156"/>
        <v>2.7328170496767634</v>
      </c>
      <c r="I133" s="227">
        <f t="shared" si="157"/>
        <v>2.4731461724056176</v>
      </c>
      <c r="J133" s="227">
        <f t="shared" si="158"/>
        <v>0.90498051184880468</v>
      </c>
      <c r="K133" s="227">
        <f t="shared" si="159"/>
        <v>7.9396170533084565</v>
      </c>
      <c r="L133" s="227"/>
      <c r="O133" t="s">
        <v>25</v>
      </c>
      <c r="T133" t="s">
        <v>25</v>
      </c>
    </row>
    <row r="134" spans="1:23" ht="15.75">
      <c r="A134" s="229" t="s">
        <v>6696</v>
      </c>
      <c r="B134" s="225" t="s">
        <v>4134</v>
      </c>
      <c r="C134" s="224">
        <v>1332.2259414225941</v>
      </c>
      <c r="D134" s="301">
        <v>19406.733960922651</v>
      </c>
      <c r="E134" s="227" t="s">
        <v>5139</v>
      </c>
      <c r="F134" s="226">
        <v>486.84610260918487</v>
      </c>
      <c r="G134" s="298">
        <f t="shared" si="155"/>
        <v>52447.578584763025</v>
      </c>
      <c r="H134" s="227">
        <f t="shared" si="156"/>
        <v>2.7364416276164318</v>
      </c>
      <c r="I134" s="227">
        <f t="shared" si="157"/>
        <v>2.4731461724056176</v>
      </c>
      <c r="J134" s="227">
        <f t="shared" si="158"/>
        <v>0.90378181191456408</v>
      </c>
      <c r="K134" s="227">
        <f t="shared" si="159"/>
        <v>8.0861744214135065</v>
      </c>
      <c r="L134" s="227"/>
      <c r="U134" s="365"/>
      <c r="W134" t="s">
        <v>25</v>
      </c>
    </row>
    <row r="135" spans="1:23" ht="15.75">
      <c r="A135" s="229" t="s">
        <v>6696</v>
      </c>
      <c r="B135" s="225" t="s">
        <v>4134</v>
      </c>
      <c r="C135" s="224">
        <v>1343.1532902244201</v>
      </c>
      <c r="D135" s="301">
        <v>19408.388101535551</v>
      </c>
      <c r="E135" s="227" t="s">
        <v>5139</v>
      </c>
      <c r="F135" s="226">
        <v>491.15716618608906</v>
      </c>
      <c r="G135" s="298">
        <f t="shared" si="155"/>
        <v>52418.110852067955</v>
      </c>
      <c r="H135" s="227">
        <f t="shared" si="156"/>
        <v>2.7346710639574128</v>
      </c>
      <c r="I135" s="227">
        <f t="shared" si="157"/>
        <v>2.4731461724056176</v>
      </c>
      <c r="J135" s="227">
        <f t="shared" si="158"/>
        <v>0.9043669657390766</v>
      </c>
      <c r="K135" s="227">
        <f t="shared" si="159"/>
        <v>8.0145828722048673</v>
      </c>
      <c r="L135" s="227"/>
      <c r="T135" s="494"/>
      <c r="U135" s="365" t="s">
        <v>25</v>
      </c>
    </row>
    <row r="136" spans="1:23" ht="15.75">
      <c r="A136" s="229" t="s">
        <v>6696</v>
      </c>
      <c r="B136" s="225" t="s">
        <v>4134</v>
      </c>
      <c r="C136" s="224">
        <v>1333.1365538227462</v>
      </c>
      <c r="D136" s="301">
        <v>19404.986519038888</v>
      </c>
      <c r="E136" s="227" t="s">
        <v>5139</v>
      </c>
      <c r="F136" s="226">
        <v>486.84610260918487</v>
      </c>
      <c r="G136" s="298">
        <f t="shared" si="155"/>
        <v>52478.702151856487</v>
      </c>
      <c r="H136" s="227">
        <f t="shared" si="156"/>
        <v>2.7383120593509611</v>
      </c>
      <c r="I136" s="227">
        <f t="shared" si="157"/>
        <v>2.4731461724056176</v>
      </c>
      <c r="J136" s="227">
        <f t="shared" si="158"/>
        <v>0.90316447461134375</v>
      </c>
      <c r="K136" s="227">
        <f t="shared" si="159"/>
        <v>8.1618040690016223</v>
      </c>
      <c r="L136" s="227"/>
      <c r="N136" t="s">
        <v>25</v>
      </c>
      <c r="T136" s="494"/>
      <c r="U136" s="365"/>
    </row>
    <row r="137" spans="1:23" ht="15.75">
      <c r="A137" s="229" t="s">
        <v>6696</v>
      </c>
      <c r="B137" s="225" t="s">
        <v>4134</v>
      </c>
      <c r="C137" s="224">
        <v>1334.0471662228986</v>
      </c>
      <c r="D137" s="301">
        <v>15590.134724310776</v>
      </c>
      <c r="E137" s="227" t="s">
        <v>5139</v>
      </c>
      <c r="F137" s="226">
        <v>486.84610260918487</v>
      </c>
      <c r="G137" s="298">
        <f t="shared" si="155"/>
        <v>42190.644222022223</v>
      </c>
      <c r="H137" s="227">
        <f t="shared" si="156"/>
        <v>2.7401824910854908</v>
      </c>
      <c r="I137" s="227">
        <f t="shared" si="157"/>
        <v>2.4731461724056176</v>
      </c>
      <c r="J137" s="227">
        <f>I137/H137</f>
        <v>0.90254798008942461</v>
      </c>
      <c r="K137" s="227">
        <f>(1/J137-1.0256)*100</f>
        <v>8.2374337165897593</v>
      </c>
      <c r="L137" s="227"/>
      <c r="N137" t="s">
        <v>25</v>
      </c>
      <c r="T137" s="494"/>
      <c r="U137" s="365"/>
    </row>
    <row r="138" spans="1:23" ht="15.75">
      <c r="A138" s="229" t="s">
        <v>6707</v>
      </c>
      <c r="B138" s="225" t="s">
        <v>4134</v>
      </c>
      <c r="C138" s="224">
        <v>1331.315329022442</v>
      </c>
      <c r="D138" s="301">
        <v>31119.520462564746</v>
      </c>
      <c r="E138" s="227" t="s">
        <v>5139</v>
      </c>
      <c r="F138" s="226">
        <v>480</v>
      </c>
      <c r="G138" s="298">
        <f t="shared" si="155"/>
        <v>85243.130965768403</v>
      </c>
      <c r="H138" s="227">
        <f t="shared" si="156"/>
        <v>2.7735736021300874</v>
      </c>
      <c r="I138" s="227">
        <f t="shared" si="157"/>
        <v>2.4731461724056176</v>
      </c>
      <c r="J138" s="227">
        <f>I138/H138</f>
        <v>0.89168218593739734</v>
      </c>
      <c r="K138" s="227">
        <f>(1/J138-1.0256)*100</f>
        <v>9.5875808052317879</v>
      </c>
      <c r="L138" s="227"/>
    </row>
    <row r="139" spans="1:23" ht="15.75">
      <c r="A139" s="229" t="s">
        <v>6715</v>
      </c>
      <c r="B139" s="225" t="s">
        <v>4134</v>
      </c>
      <c r="C139" s="224">
        <v>1282.1422594142259</v>
      </c>
      <c r="D139" s="301">
        <v>10981.620718462824</v>
      </c>
      <c r="E139" s="227" t="s">
        <v>5139</v>
      </c>
      <c r="F139" s="226">
        <v>460.7</v>
      </c>
      <c r="G139" s="298">
        <f t="shared" si="155"/>
        <v>30183.614406606379</v>
      </c>
      <c r="H139" s="227">
        <f t="shared" si="156"/>
        <v>2.7830307345652829</v>
      </c>
      <c r="I139" s="227">
        <f t="shared" si="157"/>
        <v>2.4731461724056176</v>
      </c>
      <c r="J139" s="227">
        <f>I139/H139</f>
        <v>0.88865212363237878</v>
      </c>
      <c r="K139" s="227">
        <f>(1/J139-1.0256)*100</f>
        <v>9.9699735865689476</v>
      </c>
      <c r="L139" s="227"/>
      <c r="O139" t="s">
        <v>25</v>
      </c>
    </row>
    <row r="140" spans="1:23" ht="15.75">
      <c r="A140" s="229" t="s">
        <v>6715</v>
      </c>
      <c r="B140" s="225" t="s">
        <v>4134</v>
      </c>
      <c r="C140" s="224">
        <v>1290.3377710155953</v>
      </c>
      <c r="D140" s="301">
        <v>10981.620718462824</v>
      </c>
      <c r="E140" s="227" t="s">
        <v>5139</v>
      </c>
      <c r="F140" s="226">
        <v>460.7</v>
      </c>
      <c r="G140" s="298">
        <f t="shared" si="155"/>
        <v>30376.549441875883</v>
      </c>
      <c r="H140" s="227">
        <f t="shared" si="156"/>
        <v>2.8008199935220217</v>
      </c>
      <c r="I140" s="227">
        <f t="shared" si="157"/>
        <v>2.4731461724056176</v>
      </c>
      <c r="J140" s="227">
        <f t="shared" ref="J140:J146" si="160">I140/H140</f>
        <v>0.88300789701791749</v>
      </c>
      <c r="K140" s="227">
        <f t="shared" ref="K140:K146" si="161">(1/J140-1.0256)*100</f>
        <v>10.689270292733122</v>
      </c>
      <c r="L140" s="227"/>
      <c r="M140" t="s">
        <v>25</v>
      </c>
      <c r="T140" s="365"/>
    </row>
    <row r="141" spans="1:23" ht="15.75">
      <c r="A141" s="229" t="s">
        <v>6716</v>
      </c>
      <c r="B141" s="225" t="s">
        <v>4134</v>
      </c>
      <c r="C141" s="224">
        <v>1298.5332826169647</v>
      </c>
      <c r="D141" s="301">
        <v>29113.37468671679</v>
      </c>
      <c r="E141" s="227" t="s">
        <v>5139</v>
      </c>
      <c r="F141" s="226">
        <v>460.6</v>
      </c>
      <c r="G141" s="298">
        <f t="shared" si="155"/>
        <v>81060.355338675217</v>
      </c>
      <c r="H141" s="227">
        <f t="shared" si="156"/>
        <v>2.8192211954341393</v>
      </c>
      <c r="I141" s="227">
        <f t="shared" si="157"/>
        <v>2.4731461724056176</v>
      </c>
      <c r="J141" s="227">
        <f t="shared" si="160"/>
        <v>0.8772444590055557</v>
      </c>
      <c r="K141" s="227">
        <f t="shared" si="161"/>
        <v>11.433310500199667</v>
      </c>
      <c r="L141" s="227"/>
    </row>
    <row r="142" spans="1:23" ht="15.75">
      <c r="A142" s="229" t="s">
        <v>6716</v>
      </c>
      <c r="B142" s="225" t="s">
        <v>4134</v>
      </c>
      <c r="C142" s="224">
        <v>1303.9969570178775</v>
      </c>
      <c r="D142" s="301">
        <v>5337.0676691729323</v>
      </c>
      <c r="E142" s="227" t="s">
        <v>5139</v>
      </c>
      <c r="F142" s="226">
        <v>460.1</v>
      </c>
      <c r="G142" s="298">
        <f t="shared" si="155"/>
        <v>14938.736108785723</v>
      </c>
      <c r="H142" s="227">
        <f t="shared" si="156"/>
        <v>2.8341598718058627</v>
      </c>
      <c r="I142" s="227">
        <f t="shared" si="157"/>
        <v>2.4731461724056176</v>
      </c>
      <c r="J142" s="227">
        <f t="shared" si="160"/>
        <v>0.87262055927345572</v>
      </c>
      <c r="K142" s="227">
        <f t="shared" si="161"/>
        <v>12.037345819195512</v>
      </c>
      <c r="L142" s="227"/>
    </row>
    <row r="143" spans="1:23" ht="15.75">
      <c r="A143" s="229" t="s">
        <v>6718</v>
      </c>
      <c r="B143" s="225" t="s">
        <v>4134</v>
      </c>
      <c r="C143" s="224">
        <v>1273.0361354127044</v>
      </c>
      <c r="D143" s="301">
        <v>10981.620718462824</v>
      </c>
      <c r="E143" s="227" t="s">
        <v>5139</v>
      </c>
      <c r="F143" s="226">
        <v>444</v>
      </c>
      <c r="G143" s="298">
        <f t="shared" si="155"/>
        <v>31096.463640296653</v>
      </c>
      <c r="H143" s="227">
        <f t="shared" si="156"/>
        <v>2.8671985031817666</v>
      </c>
      <c r="I143" s="227">
        <f t="shared" si="157"/>
        <v>2.4731461724056176</v>
      </c>
      <c r="J143" s="227">
        <f>I143/H143</f>
        <v>0.86256538208328992</v>
      </c>
      <c r="K143" s="227">
        <f>(1/J143-1.0256)*100</f>
        <v>13.373240629802986</v>
      </c>
      <c r="L143" s="227"/>
      <c r="N143" t="s">
        <v>25</v>
      </c>
    </row>
    <row r="144" spans="1:23" ht="15.75">
      <c r="A144" s="229" t="s">
        <v>6718</v>
      </c>
      <c r="B144" s="225" t="s">
        <v>4134</v>
      </c>
      <c r="C144" s="224">
        <v>1273.0361354127044</v>
      </c>
      <c r="D144" s="301">
        <v>13177.944862155387</v>
      </c>
      <c r="E144" s="227" t="s">
        <v>5139</v>
      </c>
      <c r="F144" s="226">
        <v>442.97</v>
      </c>
      <c r="G144" s="298">
        <f t="shared" si="155"/>
        <v>37402.523483644611</v>
      </c>
      <c r="H144" s="227">
        <f t="shared" si="156"/>
        <v>2.8738653529871194</v>
      </c>
      <c r="I144" s="227">
        <f t="shared" si="157"/>
        <v>2.4731461724056176</v>
      </c>
      <c r="J144" s="227">
        <f>I144/H144</f>
        <v>0.86056438581404271</v>
      </c>
      <c r="K144" s="227">
        <f>(1/J144-1.0256)*100</f>
        <v>13.642810212051648</v>
      </c>
      <c r="L144" s="227"/>
    </row>
    <row r="145" spans="1:20" ht="15.75">
      <c r="A145" s="229"/>
      <c r="B145" s="225"/>
      <c r="C145" s="224"/>
      <c r="D145" s="301"/>
      <c r="E145" s="227"/>
      <c r="F145" s="226"/>
      <c r="G145" s="298"/>
      <c r="H145" s="227"/>
      <c r="I145" s="227"/>
      <c r="J145" s="227"/>
      <c r="K145" s="227"/>
      <c r="L145" s="227"/>
    </row>
    <row r="146" spans="1:20" ht="15.75">
      <c r="A146" s="229"/>
      <c r="B146" s="225"/>
      <c r="C146" s="224"/>
      <c r="D146" s="301"/>
      <c r="E146" s="227"/>
      <c r="F146" s="226"/>
      <c r="G146" s="298"/>
      <c r="H146" s="227"/>
      <c r="I146" s="227">
        <f>$O$32/$O$33</f>
        <v>2.4731461724056176</v>
      </c>
      <c r="J146" s="227" t="e">
        <f t="shared" si="160"/>
        <v>#DIV/0!</v>
      </c>
      <c r="K146" s="227" t="e">
        <f t="shared" si="161"/>
        <v>#DIV/0!</v>
      </c>
      <c r="L146" s="227"/>
    </row>
    <row r="147" spans="1:20">
      <c r="O147" t="s">
        <v>25</v>
      </c>
    </row>
    <row r="148" spans="1:20">
      <c r="O148" t="s">
        <v>25</v>
      </c>
    </row>
    <row r="150" spans="1:20">
      <c r="N150" t="s">
        <v>25</v>
      </c>
      <c r="O150" t="s">
        <v>25</v>
      </c>
    </row>
    <row r="153" spans="1:20">
      <c r="N153" t="s">
        <v>25</v>
      </c>
    </row>
    <row r="154" spans="1:20">
      <c r="K154" t="s">
        <v>25</v>
      </c>
    </row>
    <row r="155" spans="1:20">
      <c r="J155" t="s">
        <v>25</v>
      </c>
      <c r="N155" t="s">
        <v>25</v>
      </c>
    </row>
    <row r="157" spans="1:20">
      <c r="N157" t="s">
        <v>25</v>
      </c>
    </row>
    <row r="158" spans="1:20">
      <c r="N158" t="s">
        <v>25</v>
      </c>
      <c r="P158" t="s">
        <v>25</v>
      </c>
    </row>
    <row r="159" spans="1:20">
      <c r="N159" t="s">
        <v>25</v>
      </c>
      <c r="T159" t="s">
        <v>25</v>
      </c>
    </row>
    <row r="165" spans="1:23">
      <c r="D165">
        <v>28000</v>
      </c>
      <c r="T165" s="491">
        <v>427061</v>
      </c>
      <c r="U165" s="491">
        <v>2617511</v>
      </c>
      <c r="V165">
        <v>2437975</v>
      </c>
      <c r="W165">
        <v>179537</v>
      </c>
    </row>
    <row r="166" spans="1:23">
      <c r="O166" t="s">
        <v>25</v>
      </c>
      <c r="T166" s="491">
        <f>U166*T165/U165</f>
        <v>258283.61265072046</v>
      </c>
      <c r="U166" s="491">
        <v>1583053</v>
      </c>
      <c r="V166">
        <f>U166*V165/U165</f>
        <v>1474470.83801176</v>
      </c>
      <c r="W166">
        <f>U166*W165/U165</f>
        <v>108582.76678149585</v>
      </c>
    </row>
    <row r="167" spans="1:23">
      <c r="A167" t="s">
        <v>6569</v>
      </c>
      <c r="B167">
        <v>10330</v>
      </c>
      <c r="C167">
        <v>11900</v>
      </c>
      <c r="D167" s="7">
        <f t="shared" ref="D167:D189" si="162">B167*$D$165</f>
        <v>289240000</v>
      </c>
      <c r="E167" s="7">
        <f t="shared" ref="E167:E189" si="163">C167*$D$165</f>
        <v>333200000</v>
      </c>
      <c r="F167" s="7">
        <v>440000000</v>
      </c>
      <c r="G167">
        <f>(F167-E167)*100/E167</f>
        <v>32.052821128451377</v>
      </c>
      <c r="T167" s="491">
        <f>T165-T166</f>
        <v>168777.38734927954</v>
      </c>
      <c r="U167" s="491">
        <f>U165-U166</f>
        <v>1034458</v>
      </c>
      <c r="V167">
        <f>V165-V166</f>
        <v>963504.16198823997</v>
      </c>
      <c r="W167">
        <f>W165-W166</f>
        <v>70954.233218504145</v>
      </c>
    </row>
    <row r="168" spans="1:23">
      <c r="A168" t="s">
        <v>6570</v>
      </c>
      <c r="C168">
        <v>18000</v>
      </c>
      <c r="D168" s="7">
        <f t="shared" si="162"/>
        <v>0</v>
      </c>
      <c r="E168" s="7">
        <f t="shared" si="163"/>
        <v>504000000</v>
      </c>
      <c r="F168" s="7">
        <v>700000000</v>
      </c>
      <c r="G168">
        <f t="shared" ref="G168:G185" si="164">(F168-E168)*100/E168</f>
        <v>38.888888888888886</v>
      </c>
    </row>
    <row r="169" spans="1:23">
      <c r="A169" t="s">
        <v>6571</v>
      </c>
      <c r="C169">
        <v>19000</v>
      </c>
      <c r="D169" s="7">
        <f t="shared" si="162"/>
        <v>0</v>
      </c>
      <c r="E169" s="7">
        <f t="shared" si="163"/>
        <v>532000000</v>
      </c>
      <c r="F169" s="7">
        <v>650000000</v>
      </c>
      <c r="G169">
        <f t="shared" si="164"/>
        <v>22.180451127819548</v>
      </c>
    </row>
    <row r="170" spans="1:23">
      <c r="A170" t="s">
        <v>6572</v>
      </c>
      <c r="C170">
        <v>23000</v>
      </c>
      <c r="D170" s="7">
        <f t="shared" si="162"/>
        <v>0</v>
      </c>
      <c r="E170" s="7">
        <f t="shared" si="163"/>
        <v>644000000</v>
      </c>
      <c r="F170" s="7">
        <v>930000000</v>
      </c>
      <c r="G170">
        <f t="shared" si="164"/>
        <v>44.409937888198755</v>
      </c>
    </row>
    <row r="171" spans="1:23">
      <c r="A171" t="s">
        <v>6573</v>
      </c>
      <c r="C171">
        <v>13000</v>
      </c>
      <c r="D171" s="7">
        <f t="shared" si="162"/>
        <v>0</v>
      </c>
      <c r="E171" s="7">
        <f t="shared" si="163"/>
        <v>364000000</v>
      </c>
      <c r="F171" s="7">
        <v>600000000</v>
      </c>
      <c r="G171">
        <f t="shared" si="164"/>
        <v>64.835164835164832</v>
      </c>
    </row>
    <row r="172" spans="1:23">
      <c r="A172" t="s">
        <v>6574</v>
      </c>
      <c r="C172">
        <v>13000</v>
      </c>
      <c r="D172" s="7">
        <f t="shared" si="162"/>
        <v>0</v>
      </c>
      <c r="E172" s="7">
        <f t="shared" si="163"/>
        <v>364000000</v>
      </c>
      <c r="F172" s="7">
        <v>400000000</v>
      </c>
      <c r="G172">
        <f t="shared" si="164"/>
        <v>9.8901098901098905</v>
      </c>
    </row>
    <row r="173" spans="1:23">
      <c r="A173" t="s">
        <v>6575</v>
      </c>
      <c r="C173">
        <v>13600</v>
      </c>
      <c r="D173" s="7">
        <f t="shared" si="162"/>
        <v>0</v>
      </c>
      <c r="E173" s="7">
        <f t="shared" si="163"/>
        <v>380800000</v>
      </c>
      <c r="F173" s="7">
        <v>520000000</v>
      </c>
      <c r="G173">
        <f t="shared" si="164"/>
        <v>36.554621848739494</v>
      </c>
    </row>
    <row r="174" spans="1:23">
      <c r="A174" t="s">
        <v>6576</v>
      </c>
      <c r="C174">
        <v>28000</v>
      </c>
      <c r="D174" s="7">
        <f t="shared" si="162"/>
        <v>0</v>
      </c>
      <c r="E174" s="7">
        <f t="shared" si="163"/>
        <v>784000000</v>
      </c>
      <c r="F174" s="7">
        <v>900000000</v>
      </c>
      <c r="G174">
        <f t="shared" si="164"/>
        <v>14.795918367346939</v>
      </c>
    </row>
    <row r="175" spans="1:23">
      <c r="A175" t="s">
        <v>6577</v>
      </c>
      <c r="C175">
        <v>19000</v>
      </c>
      <c r="D175" s="7">
        <f t="shared" si="162"/>
        <v>0</v>
      </c>
      <c r="E175" s="7">
        <f t="shared" si="163"/>
        <v>532000000</v>
      </c>
      <c r="F175" s="7">
        <v>700000000</v>
      </c>
      <c r="G175">
        <f t="shared" si="164"/>
        <v>31.578947368421051</v>
      </c>
      <c r="N175" t="s">
        <v>25</v>
      </c>
    </row>
    <row r="176" spans="1:23">
      <c r="A176" t="s">
        <v>6578</v>
      </c>
      <c r="C176">
        <v>15000</v>
      </c>
      <c r="D176" s="7">
        <f t="shared" si="162"/>
        <v>0</v>
      </c>
      <c r="E176" s="7">
        <f t="shared" si="163"/>
        <v>420000000</v>
      </c>
      <c r="F176" s="7">
        <v>700000000</v>
      </c>
      <c r="G176">
        <f t="shared" si="164"/>
        <v>66.666666666666671</v>
      </c>
    </row>
    <row r="177" spans="1:20">
      <c r="A177" t="s">
        <v>6579</v>
      </c>
      <c r="C177">
        <v>21000</v>
      </c>
      <c r="D177" s="7">
        <f t="shared" si="162"/>
        <v>0</v>
      </c>
      <c r="E177" s="7">
        <f t="shared" si="163"/>
        <v>588000000</v>
      </c>
      <c r="F177" s="7">
        <v>700000000</v>
      </c>
      <c r="G177">
        <f t="shared" si="164"/>
        <v>19.047619047619047</v>
      </c>
      <c r="O177" t="s">
        <v>25</v>
      </c>
    </row>
    <row r="178" spans="1:20">
      <c r="A178" t="s">
        <v>6580</v>
      </c>
      <c r="C178">
        <v>17000</v>
      </c>
      <c r="D178" s="7">
        <f t="shared" si="162"/>
        <v>0</v>
      </c>
      <c r="E178" s="7">
        <f t="shared" si="163"/>
        <v>476000000</v>
      </c>
      <c r="F178" s="7">
        <v>700000000</v>
      </c>
      <c r="G178">
        <f t="shared" si="164"/>
        <v>47.058823529411768</v>
      </c>
    </row>
    <row r="179" spans="1:20">
      <c r="A179" t="s">
        <v>6581</v>
      </c>
      <c r="C179">
        <v>11000</v>
      </c>
      <c r="D179" s="7">
        <f t="shared" si="162"/>
        <v>0</v>
      </c>
      <c r="E179" s="7">
        <f t="shared" si="163"/>
        <v>308000000</v>
      </c>
      <c r="F179" s="7">
        <v>370000000</v>
      </c>
      <c r="G179">
        <f t="shared" si="164"/>
        <v>20.129870129870131</v>
      </c>
    </row>
    <row r="180" spans="1:20">
      <c r="D180" s="7">
        <f t="shared" si="162"/>
        <v>0</v>
      </c>
      <c r="E180" s="7">
        <f t="shared" si="163"/>
        <v>0</v>
      </c>
      <c r="F180" s="7"/>
      <c r="G180" t="e">
        <f t="shared" si="164"/>
        <v>#DIV/0!</v>
      </c>
    </row>
    <row r="181" spans="1:20">
      <c r="D181" s="7">
        <f t="shared" si="162"/>
        <v>0</v>
      </c>
      <c r="E181" s="7">
        <f t="shared" si="163"/>
        <v>0</v>
      </c>
      <c r="F181" s="7"/>
      <c r="G181" t="e">
        <f t="shared" si="164"/>
        <v>#DIV/0!</v>
      </c>
    </row>
    <row r="182" spans="1:20">
      <c r="D182" s="7">
        <f t="shared" si="162"/>
        <v>0</v>
      </c>
      <c r="E182" s="7">
        <f t="shared" si="163"/>
        <v>0</v>
      </c>
      <c r="F182" s="7"/>
      <c r="G182" t="e">
        <f t="shared" si="164"/>
        <v>#DIV/0!</v>
      </c>
    </row>
    <row r="183" spans="1:20">
      <c r="D183" s="7">
        <f t="shared" si="162"/>
        <v>0</v>
      </c>
      <c r="E183" s="7">
        <f t="shared" si="163"/>
        <v>0</v>
      </c>
      <c r="F183" s="7"/>
      <c r="G183" t="e">
        <f t="shared" si="164"/>
        <v>#DIV/0!</v>
      </c>
    </row>
    <row r="184" spans="1:20">
      <c r="D184" s="7">
        <f t="shared" si="162"/>
        <v>0</v>
      </c>
      <c r="E184" s="7">
        <f t="shared" si="163"/>
        <v>0</v>
      </c>
      <c r="F184" s="7"/>
      <c r="G184" t="e">
        <f t="shared" si="164"/>
        <v>#DIV/0!</v>
      </c>
    </row>
    <row r="185" spans="1:20">
      <c r="D185" s="7">
        <f t="shared" si="162"/>
        <v>0</v>
      </c>
      <c r="E185" s="7">
        <f t="shared" si="163"/>
        <v>0</v>
      </c>
      <c r="F185" s="7"/>
      <c r="G185" t="e">
        <f t="shared" si="164"/>
        <v>#DIV/0!</v>
      </c>
    </row>
    <row r="186" spans="1:20">
      <c r="D186" s="7">
        <f t="shared" si="162"/>
        <v>0</v>
      </c>
      <c r="E186" s="7">
        <f t="shared" si="163"/>
        <v>0</v>
      </c>
      <c r="O186" t="s">
        <v>25</v>
      </c>
    </row>
    <row r="187" spans="1:20">
      <c r="D187" s="7">
        <f t="shared" si="162"/>
        <v>0</v>
      </c>
      <c r="E187" s="7">
        <f t="shared" si="163"/>
        <v>0</v>
      </c>
    </row>
    <row r="188" spans="1:20">
      <c r="D188" s="7">
        <f t="shared" si="162"/>
        <v>0</v>
      </c>
      <c r="E188" s="7">
        <f t="shared" si="163"/>
        <v>0</v>
      </c>
      <c r="T188" t="s">
        <v>25</v>
      </c>
    </row>
    <row r="189" spans="1:20">
      <c r="D189" s="7">
        <f t="shared" si="162"/>
        <v>0</v>
      </c>
      <c r="E189" s="7">
        <f t="shared" si="163"/>
        <v>0</v>
      </c>
    </row>
    <row r="193" spans="15:15">
      <c r="O193" t="s">
        <v>25</v>
      </c>
    </row>
    <row r="216" spans="14:14">
      <c r="N216" t="s">
        <v>25</v>
      </c>
    </row>
    <row r="218" spans="14:14">
      <c r="N218" t="s">
        <v>25</v>
      </c>
    </row>
  </sheetData>
  <phoneticPr fontId="24" type="noConversion"/>
  <conditionalFormatting sqref="K92:K146 K87:K90 K76 K81:K84 K1:K3 P74:Q76 K70:K74 L67:L69 K7:K6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1">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6">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5">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7046</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7047</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6875</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7048</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7050</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7049</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7025</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6883</v>
      </c>
      <c r="B16" s="467" t="s">
        <v>6885</v>
      </c>
      <c r="C16" s="453"/>
      <c r="D16" s="453"/>
      <c r="E16" s="398"/>
      <c r="F16" s="398"/>
      <c r="G16" s="398"/>
      <c r="H16" s="398"/>
      <c r="I16" s="398"/>
      <c r="K16" s="398"/>
    </row>
    <row r="17" spans="1:20">
      <c r="A17" s="453"/>
      <c r="B17" s="453"/>
      <c r="C17" s="453"/>
      <c r="D17" s="453"/>
      <c r="E17" s="398"/>
      <c r="F17" s="398"/>
      <c r="K17" s="398" t="s">
        <v>6895</v>
      </c>
      <c r="L17" s="398">
        <v>14</v>
      </c>
    </row>
    <row r="18" spans="1:20">
      <c r="A18" s="479"/>
      <c r="B18" s="249" t="s">
        <v>4163</v>
      </c>
      <c r="C18" s="249" t="s">
        <v>6875</v>
      </c>
      <c r="D18" s="249" t="s">
        <v>6888</v>
      </c>
      <c r="E18" s="249" t="s">
        <v>840</v>
      </c>
      <c r="F18" s="398"/>
      <c r="K18" s="398" t="s">
        <v>6896</v>
      </c>
      <c r="L18" s="398">
        <v>31</v>
      </c>
    </row>
    <row r="19" spans="1:20">
      <c r="A19" s="351" t="s">
        <v>6904</v>
      </c>
      <c r="B19" s="354">
        <v>380</v>
      </c>
      <c r="C19" s="354">
        <v>450</v>
      </c>
      <c r="D19" s="354">
        <v>34</v>
      </c>
      <c r="E19" s="471">
        <f t="shared" ref="E19:E26" si="4">C19/(B19-D19)-1</f>
        <v>0.300578034682081</v>
      </c>
      <c r="F19" s="398"/>
      <c r="G19" s="398"/>
      <c r="H19" s="398" t="s">
        <v>25</v>
      </c>
      <c r="I19" s="398" t="s">
        <v>25</v>
      </c>
      <c r="K19" s="478" t="s">
        <v>6897</v>
      </c>
      <c r="L19" s="398">
        <v>31</v>
      </c>
    </row>
    <row r="20" spans="1:20">
      <c r="A20" s="351" t="s">
        <v>5594</v>
      </c>
      <c r="B20" s="351">
        <v>122.4</v>
      </c>
      <c r="C20" s="351">
        <v>86.5</v>
      </c>
      <c r="D20" s="351">
        <v>37</v>
      </c>
      <c r="E20" s="471">
        <f>C20/(B20-D20)-1</f>
        <v>1.2880562060889833E-2</v>
      </c>
      <c r="F20" s="398">
        <f>E20/7</f>
        <v>1.8400802944128333E-3</v>
      </c>
      <c r="G20" s="398"/>
      <c r="H20" s="398"/>
      <c r="I20" s="398"/>
      <c r="K20" s="398" t="s">
        <v>6898</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6901</v>
      </c>
      <c r="B22" s="351">
        <v>844</v>
      </c>
      <c r="C22" s="351">
        <v>800</v>
      </c>
      <c r="D22" s="351">
        <v>132</v>
      </c>
      <c r="E22" s="471">
        <f t="shared" si="4"/>
        <v>0.12359550561797761</v>
      </c>
      <c r="F22" s="398"/>
      <c r="G22" s="398"/>
      <c r="H22" s="398"/>
      <c r="I22" s="398"/>
      <c r="K22" s="398" t="s">
        <v>6899</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6905</v>
      </c>
      <c r="B24" s="351">
        <v>1820</v>
      </c>
      <c r="C24" s="351">
        <v>2800</v>
      </c>
      <c r="D24" s="351">
        <v>250</v>
      </c>
      <c r="E24" s="471">
        <f t="shared" si="4"/>
        <v>0.78343949044585992</v>
      </c>
      <c r="F24" s="529">
        <v>1226</v>
      </c>
      <c r="G24" s="398"/>
      <c r="H24" s="398"/>
      <c r="I24" s="398"/>
      <c r="K24" s="398" t="s">
        <v>25</v>
      </c>
    </row>
    <row r="25" spans="1:20">
      <c r="A25" s="351" t="s">
        <v>6906</v>
      </c>
      <c r="B25" s="351">
        <v>1790</v>
      </c>
      <c r="C25" s="351">
        <v>2600</v>
      </c>
      <c r="D25" s="351">
        <v>180</v>
      </c>
      <c r="E25" s="471">
        <f t="shared" si="4"/>
        <v>0.61490683229813659</v>
      </c>
      <c r="F25" s="398"/>
      <c r="G25" s="398"/>
      <c r="H25" s="398"/>
      <c r="I25" s="398"/>
      <c r="K25" s="398"/>
    </row>
    <row r="26" spans="1:20">
      <c r="A26" s="351" t="s">
        <v>7007</v>
      </c>
      <c r="B26" s="351">
        <v>1110</v>
      </c>
      <c r="C26" s="351">
        <v>1100</v>
      </c>
      <c r="D26" s="351">
        <v>125</v>
      </c>
      <c r="E26" s="471">
        <f t="shared" si="4"/>
        <v>0.11675126903553301</v>
      </c>
      <c r="F26" s="398"/>
      <c r="G26" s="398"/>
      <c r="H26" s="398"/>
      <c r="I26" s="398"/>
    </row>
    <row r="27" spans="1:20" ht="15.75">
      <c r="A27" s="351" t="s">
        <v>6907</v>
      </c>
      <c r="B27" s="351">
        <v>556</v>
      </c>
      <c r="C27" s="351">
        <v>600</v>
      </c>
      <c r="D27" s="351">
        <v>60</v>
      </c>
      <c r="E27" s="471">
        <f t="shared" ref="E27" si="5">C27/(B27-D27)-1</f>
        <v>0.20967741935483875</v>
      </c>
      <c r="K27" s="517"/>
      <c r="L27" s="517"/>
      <c r="Q27" s="45" t="s">
        <v>6996</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6997</v>
      </c>
      <c r="R28" s="444">
        <v>110000000</v>
      </c>
      <c r="S28">
        <v>7</v>
      </c>
      <c r="T28" s="444">
        <f t="shared" ref="T28:T32" si="7">R28*S28</f>
        <v>770000000</v>
      </c>
    </row>
    <row r="29" spans="1:20" ht="15.75">
      <c r="A29" s="351" t="s">
        <v>6882</v>
      </c>
      <c r="B29" s="351">
        <v>18600</v>
      </c>
      <c r="C29" s="351">
        <v>20000</v>
      </c>
      <c r="D29" s="351">
        <v>600</v>
      </c>
      <c r="E29" s="471">
        <f t="shared" ref="E29" si="8">C29/(B29-D29)-1</f>
        <v>0.11111111111111116</v>
      </c>
      <c r="G29" s="351" t="s">
        <v>422</v>
      </c>
      <c r="H29" s="351" t="s">
        <v>690</v>
      </c>
      <c r="I29" s="351" t="s">
        <v>1005</v>
      </c>
      <c r="J29" s="351" t="s">
        <v>5281</v>
      </c>
      <c r="K29" s="351" t="s">
        <v>6832</v>
      </c>
      <c r="L29" s="517"/>
      <c r="Q29" t="s">
        <v>6998</v>
      </c>
      <c r="R29" s="444">
        <v>60000000</v>
      </c>
      <c r="S29">
        <v>2</v>
      </c>
      <c r="T29" s="444">
        <f t="shared" si="7"/>
        <v>120000000</v>
      </c>
    </row>
    <row r="30" spans="1:20" ht="15.75">
      <c r="A30" s="351" t="s">
        <v>6918</v>
      </c>
      <c r="B30" s="351">
        <v>3213</v>
      </c>
      <c r="C30" s="351">
        <v>3000</v>
      </c>
      <c r="D30" s="351">
        <v>500</v>
      </c>
      <c r="E30" s="471" t="s">
        <v>25</v>
      </c>
      <c r="G30" s="351">
        <v>8</v>
      </c>
      <c r="H30" s="351">
        <v>0</v>
      </c>
      <c r="I30" s="351">
        <v>0</v>
      </c>
      <c r="J30" s="351">
        <v>0</v>
      </c>
      <c r="K30" s="351">
        <v>0</v>
      </c>
      <c r="L30" s="517"/>
      <c r="Q30" t="s">
        <v>7001</v>
      </c>
      <c r="R30" s="444">
        <v>30000000</v>
      </c>
      <c r="S30">
        <v>6</v>
      </c>
      <c r="T30" s="444">
        <f t="shared" si="7"/>
        <v>180000000</v>
      </c>
    </row>
    <row r="31" spans="1:20" ht="15.75">
      <c r="G31" s="351"/>
      <c r="H31" s="351"/>
      <c r="I31" s="351"/>
      <c r="J31" s="351"/>
      <c r="K31" s="351"/>
      <c r="L31" s="517"/>
      <c r="Q31" t="s">
        <v>7000</v>
      </c>
      <c r="R31" s="444">
        <v>20000000</v>
      </c>
      <c r="S31">
        <v>1</v>
      </c>
      <c r="T31" s="444">
        <f t="shared" si="7"/>
        <v>20000000</v>
      </c>
    </row>
    <row r="32" spans="1:20" ht="15.75">
      <c r="G32" s="351"/>
      <c r="H32" s="351"/>
      <c r="I32" s="351"/>
      <c r="J32" s="351"/>
      <c r="K32" s="351"/>
      <c r="L32" s="517"/>
      <c r="Q32" t="s">
        <v>6999</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7002</v>
      </c>
      <c r="T34" s="353">
        <f>T27+T28+T29+T30+T31+T32</f>
        <v>11355000000</v>
      </c>
      <c r="V34" s="353">
        <f>T34*V36/T36</f>
        <v>7777397.2602739725</v>
      </c>
    </row>
    <row r="35" spans="1:22" ht="18.75">
      <c r="A35" s="515" t="s">
        <v>6991</v>
      </c>
      <c r="B35" s="515">
        <v>1.0081648460518999</v>
      </c>
      <c r="G35" s="351"/>
      <c r="H35" s="351"/>
      <c r="I35" s="351"/>
      <c r="J35" s="351"/>
      <c r="K35" s="351"/>
      <c r="L35" s="517"/>
    </row>
    <row r="36" spans="1:22" ht="21">
      <c r="A36" s="354" t="s">
        <v>6929</v>
      </c>
      <c r="B36" s="484">
        <f>B34</f>
        <v>137</v>
      </c>
      <c r="G36" s="5">
        <f>SUM(G30:G34)</f>
        <v>8</v>
      </c>
      <c r="H36" s="5">
        <f>SUM(H30:H34)</f>
        <v>0</v>
      </c>
      <c r="I36" s="5">
        <f>SUM(I30:I34)</f>
        <v>0</v>
      </c>
      <c r="J36" s="5">
        <f>SUM(J30:J34)</f>
        <v>0</v>
      </c>
      <c r="K36" s="5">
        <f>SUM(K30:K34)</f>
        <v>0</v>
      </c>
      <c r="L36" s="517"/>
      <c r="T36" s="353">
        <v>365000000</v>
      </c>
      <c r="V36" s="353">
        <v>250000</v>
      </c>
    </row>
    <row r="37" spans="1:22" ht="21">
      <c r="A37" s="354" t="s">
        <v>6930</v>
      </c>
      <c r="B37" s="484">
        <f>B36*$B$35</f>
        <v>138.1185839091103</v>
      </c>
      <c r="L37" s="517"/>
    </row>
    <row r="38" spans="1:22" ht="21">
      <c r="A38" s="354" t="s">
        <v>6931</v>
      </c>
      <c r="B38" s="484">
        <f t="shared" ref="B38:B97" si="9">B37*$B$35</f>
        <v>139.2463008836346</v>
      </c>
      <c r="L38" s="517"/>
      <c r="P38" s="398" t="s">
        <v>61</v>
      </c>
    </row>
    <row r="39" spans="1:22" ht="21">
      <c r="A39" s="354" t="s">
        <v>6932</v>
      </c>
      <c r="B39" s="484">
        <f t="shared" si="9"/>
        <v>140.38322549364602</v>
      </c>
    </row>
    <row r="40" spans="1:22" ht="21">
      <c r="A40" s="511" t="s">
        <v>6933</v>
      </c>
      <c r="B40" s="484">
        <f t="shared" si="9"/>
        <v>141.5294329180708</v>
      </c>
    </row>
    <row r="41" spans="1:22" ht="21">
      <c r="A41" s="511" t="s">
        <v>6934</v>
      </c>
      <c r="B41" s="484">
        <f t="shared" si="9"/>
        <v>142.68499894965953</v>
      </c>
    </row>
    <row r="42" spans="1:22" ht="21">
      <c r="A42" s="512" t="s">
        <v>6935</v>
      </c>
      <c r="B42" s="484">
        <f t="shared" si="9"/>
        <v>143.849999999999</v>
      </c>
      <c r="C42">
        <f>100*(B42-$B$34)/$B$34</f>
        <v>4.9999999999992699</v>
      </c>
      <c r="E42" s="330" t="s">
        <v>4378</v>
      </c>
      <c r="F42" s="330">
        <v>3010</v>
      </c>
      <c r="G42" s="330">
        <v>3011</v>
      </c>
      <c r="H42" s="330">
        <v>3012</v>
      </c>
    </row>
    <row r="43" spans="1:22" ht="21">
      <c r="A43" s="514" t="s">
        <v>6936</v>
      </c>
      <c r="B43" s="484">
        <f t="shared" si="9"/>
        <v>145.02451310456479</v>
      </c>
      <c r="E43" s="330" t="s">
        <v>6875</v>
      </c>
      <c r="F43" s="344">
        <v>160</v>
      </c>
      <c r="G43" s="344">
        <v>170</v>
      </c>
      <c r="H43" s="344">
        <v>180</v>
      </c>
    </row>
    <row r="44" spans="1:22" ht="21">
      <c r="A44" s="511" t="s">
        <v>6937</v>
      </c>
      <c r="B44" s="484">
        <f t="shared" si="9"/>
        <v>146.20861592781532</v>
      </c>
      <c r="E44" s="330" t="s">
        <v>6920</v>
      </c>
      <c r="F44" s="344">
        <v>10</v>
      </c>
      <c r="G44" s="344">
        <v>5</v>
      </c>
      <c r="H44" s="344">
        <v>2</v>
      </c>
    </row>
    <row r="45" spans="1:22" ht="21">
      <c r="A45" s="511" t="s">
        <v>6938</v>
      </c>
      <c r="B45" s="484">
        <f t="shared" si="9"/>
        <v>147.40238676832729</v>
      </c>
      <c r="E45" s="330" t="s">
        <v>6992</v>
      </c>
      <c r="F45" s="344">
        <f>$B$34-F44</f>
        <v>127</v>
      </c>
      <c r="G45" s="344">
        <f t="shared" ref="G45:H45" si="10">$B$34-G44</f>
        <v>132</v>
      </c>
      <c r="H45" s="344">
        <f t="shared" si="10"/>
        <v>135</v>
      </c>
      <c r="I45" s="495"/>
    </row>
    <row r="46" spans="1:22" ht="21">
      <c r="A46" s="511" t="s">
        <v>6939</v>
      </c>
      <c r="B46" s="484">
        <f t="shared" si="9"/>
        <v>148.6059045639733</v>
      </c>
      <c r="E46" s="330" t="s">
        <v>6993</v>
      </c>
      <c r="F46" s="344">
        <f>IF(F43&gt;$B$42,$B$42,F43)</f>
        <v>143.849999999999</v>
      </c>
      <c r="G46" s="344">
        <f t="shared" ref="G46:H46" si="11">IF(G43&gt;$B$42,$B$42,G43)</f>
        <v>143.849999999999</v>
      </c>
      <c r="H46" s="344">
        <f t="shared" si="11"/>
        <v>143.849999999999</v>
      </c>
    </row>
    <row r="47" spans="1:22" ht="21">
      <c r="A47" s="511" t="s">
        <v>6940</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6941</v>
      </c>
      <c r="B48" s="484">
        <f t="shared" si="9"/>
        <v>151.04249999999791</v>
      </c>
      <c r="C48">
        <f>100*(B48-$B$34)/$B$34</f>
        <v>10.249999999998478</v>
      </c>
    </row>
    <row r="49" spans="1:10" ht="21">
      <c r="A49" s="511" t="s">
        <v>6942</v>
      </c>
      <c r="B49" s="484">
        <f t="shared" si="9"/>
        <v>152.27573875979201</v>
      </c>
      <c r="E49" s="330" t="s">
        <v>4378</v>
      </c>
      <c r="F49" s="330">
        <v>4007</v>
      </c>
      <c r="G49" s="330">
        <v>4008</v>
      </c>
      <c r="H49" s="330">
        <v>4009</v>
      </c>
      <c r="I49" s="330">
        <v>4010</v>
      </c>
      <c r="J49" s="330">
        <v>4011</v>
      </c>
    </row>
    <row r="50" spans="1:10" ht="21">
      <c r="A50" s="511" t="s">
        <v>6943</v>
      </c>
      <c r="B50" s="484">
        <f t="shared" si="9"/>
        <v>153.51904672420503</v>
      </c>
      <c r="E50" s="330" t="s">
        <v>6875</v>
      </c>
      <c r="F50" s="330">
        <v>160</v>
      </c>
      <c r="G50" s="330">
        <v>170</v>
      </c>
      <c r="H50" s="330">
        <v>180</v>
      </c>
      <c r="I50" s="330">
        <v>190</v>
      </c>
      <c r="J50" s="330">
        <v>200</v>
      </c>
    </row>
    <row r="51" spans="1:10" ht="21">
      <c r="A51" s="511" t="s">
        <v>6944</v>
      </c>
      <c r="B51" s="484">
        <f t="shared" si="9"/>
        <v>154.77250610674258</v>
      </c>
      <c r="E51" s="330" t="s">
        <v>6920</v>
      </c>
      <c r="F51" s="330">
        <v>23</v>
      </c>
      <c r="G51" s="330">
        <v>18.5</v>
      </c>
      <c r="H51" s="330">
        <v>15</v>
      </c>
      <c r="I51" s="330">
        <v>12</v>
      </c>
      <c r="J51" s="330">
        <v>12.6</v>
      </c>
    </row>
    <row r="52" spans="1:10" ht="21">
      <c r="A52" s="511" t="s">
        <v>6945</v>
      </c>
      <c r="B52" s="484">
        <f t="shared" si="9"/>
        <v>156.03619979217089</v>
      </c>
      <c r="E52" s="330" t="s">
        <v>6992</v>
      </c>
      <c r="F52" s="344">
        <f>$B$34-F51</f>
        <v>114</v>
      </c>
      <c r="G52" s="344">
        <f t="shared" ref="G52:J52" si="13">$B$34-G51</f>
        <v>118.5</v>
      </c>
      <c r="H52" s="344">
        <f t="shared" si="13"/>
        <v>122</v>
      </c>
      <c r="I52" s="344">
        <f t="shared" si="13"/>
        <v>125</v>
      </c>
      <c r="J52" s="344">
        <f t="shared" si="13"/>
        <v>124.4</v>
      </c>
    </row>
    <row r="53" spans="1:10" ht="21">
      <c r="A53" s="511" t="s">
        <v>6946</v>
      </c>
      <c r="B53" s="484">
        <f t="shared" si="9"/>
        <v>157.31021134199747</v>
      </c>
      <c r="E53" s="330" t="s">
        <v>6993</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6947</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6948</v>
      </c>
      <c r="B55" s="484">
        <f t="shared" si="9"/>
        <v>159.88952569778047</v>
      </c>
    </row>
    <row r="56" spans="1:10" ht="21">
      <c r="A56" s="511" t="s">
        <v>6949</v>
      </c>
      <c r="B56" s="484">
        <f t="shared" si="9"/>
        <v>161.19499906041415</v>
      </c>
    </row>
    <row r="57" spans="1:10" ht="21">
      <c r="A57" s="511" t="s">
        <v>6950</v>
      </c>
      <c r="B57" s="484">
        <f t="shared" si="9"/>
        <v>162.51113141207858</v>
      </c>
    </row>
    <row r="58" spans="1:10" ht="21">
      <c r="A58" s="511" t="s">
        <v>6951</v>
      </c>
      <c r="B58" s="484">
        <f t="shared" si="9"/>
        <v>163.83800978177828</v>
      </c>
    </row>
    <row r="59" spans="1:10" ht="21">
      <c r="A59" s="512" t="s">
        <v>6952</v>
      </c>
      <c r="B59" s="484">
        <f t="shared" si="9"/>
        <v>165.17572190909618</v>
      </c>
      <c r="C59">
        <f>100*(B59-$B$34)/$B$34</f>
        <v>20.566220371603052</v>
      </c>
      <c r="E59" s="330" t="s">
        <v>4378</v>
      </c>
      <c r="F59" s="330">
        <v>6011</v>
      </c>
      <c r="G59" s="330">
        <v>6012</v>
      </c>
      <c r="H59" s="330">
        <v>6013</v>
      </c>
      <c r="I59" s="330">
        <v>6014</v>
      </c>
    </row>
    <row r="60" spans="1:10" ht="21">
      <c r="A60" s="511" t="s">
        <v>6953</v>
      </c>
      <c r="B60" s="484">
        <f t="shared" si="9"/>
        <v>166.52435624999538</v>
      </c>
      <c r="E60" s="330" t="s">
        <v>6875</v>
      </c>
      <c r="F60" s="330">
        <v>150</v>
      </c>
      <c r="G60" s="330">
        <v>160</v>
      </c>
      <c r="H60" s="330">
        <v>170</v>
      </c>
      <c r="I60" s="330">
        <v>180</v>
      </c>
    </row>
    <row r="61" spans="1:10" ht="21">
      <c r="A61" s="511" t="s">
        <v>6954</v>
      </c>
      <c r="B61" s="484">
        <f t="shared" si="9"/>
        <v>167.88400198266834</v>
      </c>
      <c r="E61" s="330" t="s">
        <v>6920</v>
      </c>
      <c r="F61" s="330">
        <v>40</v>
      </c>
      <c r="G61" s="330">
        <v>39</v>
      </c>
      <c r="H61" s="330">
        <v>29</v>
      </c>
      <c r="I61" s="330">
        <v>35</v>
      </c>
    </row>
    <row r="62" spans="1:10" ht="21">
      <c r="A62" s="511" t="s">
        <v>6955</v>
      </c>
      <c r="B62" s="484">
        <f t="shared" si="9"/>
        <v>169.2547490134337</v>
      </c>
      <c r="E62" s="330" t="s">
        <v>6992</v>
      </c>
      <c r="F62" s="344">
        <f>$B$34-F61</f>
        <v>97</v>
      </c>
      <c r="G62" s="344">
        <f t="shared" ref="G62" si="16">$B$34-G61</f>
        <v>98</v>
      </c>
      <c r="H62" s="344">
        <f t="shared" ref="H62" si="17">$B$34-H61</f>
        <v>108</v>
      </c>
      <c r="I62" s="344">
        <f t="shared" ref="I62" si="18">$B$34-I61</f>
        <v>102</v>
      </c>
    </row>
    <row r="63" spans="1:10" ht="21">
      <c r="A63" s="511" t="s">
        <v>6956</v>
      </c>
      <c r="B63" s="484">
        <f t="shared" si="9"/>
        <v>170.63668798268134</v>
      </c>
      <c r="E63" s="330" t="s">
        <v>6993</v>
      </c>
      <c r="F63" s="344">
        <f>IF(F60&gt;$B$59,$B$59,F60)</f>
        <v>150</v>
      </c>
      <c r="G63" s="344">
        <f t="shared" ref="G63:I63" si="19">IF(G60&gt;$B$59,$B$59,G60)</f>
        <v>160</v>
      </c>
      <c r="H63" s="344">
        <f t="shared" si="19"/>
        <v>165.17572190909618</v>
      </c>
      <c r="I63" s="344">
        <f t="shared" si="19"/>
        <v>165.17572190909618</v>
      </c>
    </row>
    <row r="64" spans="1:10" ht="21">
      <c r="A64" s="511" t="s">
        <v>6957</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6958</v>
      </c>
      <c r="B65" s="484">
        <f t="shared" si="9"/>
        <v>173.4345080045498</v>
      </c>
    </row>
    <row r="66" spans="1:2" ht="21">
      <c r="A66" s="511" t="s">
        <v>6959</v>
      </c>
      <c r="B66" s="484">
        <f t="shared" si="9"/>
        <v>174.85057406249396</v>
      </c>
    </row>
    <row r="67" spans="1:2" ht="21">
      <c r="A67" s="511" t="s">
        <v>6960</v>
      </c>
      <c r="B67" s="484">
        <f t="shared" si="9"/>
        <v>176.27820208180054</v>
      </c>
    </row>
    <row r="68" spans="1:2" ht="21">
      <c r="A68" s="511" t="s">
        <v>6961</v>
      </c>
      <c r="B68" s="484">
        <f t="shared" si="9"/>
        <v>177.71748646410416</v>
      </c>
    </row>
    <row r="69" spans="1:2" ht="21">
      <c r="A69" s="511" t="s">
        <v>6962</v>
      </c>
      <c r="B69" s="484">
        <f t="shared" si="9"/>
        <v>179.16852238181417</v>
      </c>
    </row>
    <row r="70" spans="1:2" ht="21">
      <c r="A70" s="511" t="s">
        <v>6963</v>
      </c>
      <c r="B70" s="484">
        <f t="shared" si="9"/>
        <v>180.63140578440806</v>
      </c>
    </row>
    <row r="71" spans="1:2" ht="21">
      <c r="A71" s="511" t="s">
        <v>6964</v>
      </c>
      <c r="B71" s="484">
        <f t="shared" si="9"/>
        <v>182.10623340477602</v>
      </c>
    </row>
    <row r="72" spans="1:2" ht="21">
      <c r="A72" s="511" t="s">
        <v>6965</v>
      </c>
      <c r="B72" s="484">
        <f t="shared" si="9"/>
        <v>183.59310276561737</v>
      </c>
    </row>
    <row r="73" spans="1:2" ht="21">
      <c r="A73" s="511" t="s">
        <v>6966</v>
      </c>
      <c r="B73" s="484">
        <f t="shared" si="9"/>
        <v>185.09211218588928</v>
      </c>
    </row>
    <row r="74" spans="1:2" ht="21">
      <c r="A74" s="511" t="s">
        <v>6967</v>
      </c>
      <c r="B74" s="484">
        <f t="shared" si="9"/>
        <v>186.60336078730805</v>
      </c>
    </row>
    <row r="75" spans="1:2" ht="21">
      <c r="A75" s="511" t="s">
        <v>6968</v>
      </c>
      <c r="B75" s="484">
        <f t="shared" si="9"/>
        <v>188.12694850090355</v>
      </c>
    </row>
    <row r="76" spans="1:2" ht="21">
      <c r="A76" s="511" t="s">
        <v>6969</v>
      </c>
      <c r="B76" s="484">
        <f t="shared" si="9"/>
        <v>189.66297607362714</v>
      </c>
    </row>
    <row r="77" spans="1:2" ht="21">
      <c r="A77" s="511" t="s">
        <v>6970</v>
      </c>
      <c r="B77" s="484">
        <f t="shared" si="9"/>
        <v>191.21154507501348</v>
      </c>
    </row>
    <row r="78" spans="1:2" ht="21">
      <c r="A78" s="511" t="s">
        <v>6971</v>
      </c>
      <c r="B78" s="484">
        <f t="shared" si="9"/>
        <v>192.77275790389689</v>
      </c>
    </row>
    <row r="79" spans="1:2" ht="21">
      <c r="A79" s="511" t="s">
        <v>6972</v>
      </c>
      <c r="B79" s="484">
        <f t="shared" si="9"/>
        <v>194.34671779518237</v>
      </c>
    </row>
    <row r="80" spans="1:2" ht="21">
      <c r="A80" s="511" t="s">
        <v>6973</v>
      </c>
      <c r="B80" s="484">
        <f t="shared" si="9"/>
        <v>195.93352882667207</v>
      </c>
    </row>
    <row r="81" spans="1:8" ht="21">
      <c r="A81" s="511" t="s">
        <v>6974</v>
      </c>
      <c r="B81" s="484">
        <f t="shared" si="9"/>
        <v>197.53329592594736</v>
      </c>
    </row>
    <row r="82" spans="1:8" ht="21">
      <c r="A82" s="511" t="s">
        <v>6975</v>
      </c>
      <c r="B82" s="484">
        <f t="shared" si="9"/>
        <v>199.1461248773071</v>
      </c>
    </row>
    <row r="83" spans="1:8" ht="21">
      <c r="A83" s="511" t="s">
        <v>6976</v>
      </c>
      <c r="B83" s="484">
        <f t="shared" si="9"/>
        <v>200.77212232876275</v>
      </c>
    </row>
    <row r="84" spans="1:8" ht="21">
      <c r="A84" s="511" t="s">
        <v>6977</v>
      </c>
      <c r="B84" s="484">
        <f t="shared" si="9"/>
        <v>202.41139579909031</v>
      </c>
    </row>
    <row r="85" spans="1:8" ht="21">
      <c r="A85" s="511" t="s">
        <v>6978</v>
      </c>
      <c r="B85" s="484">
        <f t="shared" si="9"/>
        <v>204.06405368494006</v>
      </c>
    </row>
    <row r="86" spans="1:8" ht="21">
      <c r="A86" s="511" t="s">
        <v>6979</v>
      </c>
      <c r="B86" s="484">
        <f t="shared" si="9"/>
        <v>205.73020526800426</v>
      </c>
    </row>
    <row r="87" spans="1:8" ht="21">
      <c r="A87" s="511" t="s">
        <v>6980</v>
      </c>
      <c r="B87" s="484">
        <f t="shared" si="9"/>
        <v>207.40996072224328</v>
      </c>
    </row>
    <row r="88" spans="1:8" ht="21">
      <c r="A88" s="511" t="s">
        <v>6981</v>
      </c>
      <c r="B88" s="484">
        <f t="shared" si="9"/>
        <v>209.10343112117101</v>
      </c>
    </row>
    <row r="89" spans="1:8" ht="21">
      <c r="A89" s="511" t="s">
        <v>6982</v>
      </c>
      <c r="B89" s="484">
        <f t="shared" si="9"/>
        <v>210.81072844519943</v>
      </c>
    </row>
    <row r="90" spans="1:8" ht="21">
      <c r="A90" s="511" t="s">
        <v>6983</v>
      </c>
      <c r="B90" s="484">
        <f t="shared" si="9"/>
        <v>212.53196558904335</v>
      </c>
    </row>
    <row r="91" spans="1:8" ht="21">
      <c r="A91" s="511" t="s">
        <v>6984</v>
      </c>
      <c r="B91" s="484">
        <f t="shared" si="9"/>
        <v>214.26725636918559</v>
      </c>
    </row>
    <row r="92" spans="1:8" ht="21">
      <c r="A92" s="511" t="s">
        <v>6985</v>
      </c>
      <c r="B92" s="484">
        <f t="shared" si="9"/>
        <v>216.01671553140295</v>
      </c>
    </row>
    <row r="93" spans="1:8" ht="21">
      <c r="A93" s="511" t="s">
        <v>6986</v>
      </c>
      <c r="B93" s="484">
        <f t="shared" si="9"/>
        <v>217.78045875835392</v>
      </c>
      <c r="F93" t="s">
        <v>25</v>
      </c>
    </row>
    <row r="94" spans="1:8" ht="21">
      <c r="A94" s="511" t="s">
        <v>6987</v>
      </c>
      <c r="B94" s="484">
        <f t="shared" si="9"/>
        <v>219.55860267722801</v>
      </c>
    </row>
    <row r="95" spans="1:8" ht="21">
      <c r="A95" s="511" t="s">
        <v>6988</v>
      </c>
      <c r="B95" s="484">
        <f t="shared" si="9"/>
        <v>221.35126486745784</v>
      </c>
    </row>
    <row r="96" spans="1:8" ht="21">
      <c r="A96" s="512" t="s">
        <v>6989</v>
      </c>
      <c r="B96" s="484">
        <f t="shared" si="9"/>
        <v>223.15856386849396</v>
      </c>
      <c r="C96">
        <f>100*(B96-$B$34)/$B$34</f>
        <v>62.889462677732809</v>
      </c>
      <c r="E96" s="330" t="s">
        <v>4378</v>
      </c>
      <c r="F96" s="330">
        <v>1218</v>
      </c>
      <c r="G96" s="330">
        <v>1219</v>
      </c>
      <c r="H96" s="330">
        <v>1220</v>
      </c>
    </row>
    <row r="97" spans="1:8" ht="21">
      <c r="A97" s="514" t="s">
        <v>6990</v>
      </c>
      <c r="B97" s="484">
        <f t="shared" si="9"/>
        <v>224.9806191876433</v>
      </c>
      <c r="E97" s="330" t="s">
        <v>6875</v>
      </c>
      <c r="F97" s="330">
        <v>160</v>
      </c>
      <c r="G97" s="330">
        <v>170</v>
      </c>
      <c r="H97" s="330">
        <v>180</v>
      </c>
    </row>
    <row r="98" spans="1:8">
      <c r="A98" s="29"/>
      <c r="E98" s="330" t="s">
        <v>6920</v>
      </c>
      <c r="F98" s="330">
        <v>65</v>
      </c>
      <c r="G98" s="330">
        <v>58</v>
      </c>
      <c r="H98" s="330">
        <v>50</v>
      </c>
    </row>
    <row r="99" spans="1:8">
      <c r="A99" s="29"/>
      <c r="E99" s="330" t="s">
        <v>6992</v>
      </c>
      <c r="F99" s="344">
        <f>$B$34-F98</f>
        <v>72</v>
      </c>
      <c r="G99" s="344">
        <f t="shared" ref="G99" si="24">$B$34-G98</f>
        <v>79</v>
      </c>
      <c r="H99" s="344">
        <f t="shared" ref="H99" si="25">$B$34-H98</f>
        <v>87</v>
      </c>
    </row>
    <row r="100" spans="1:8">
      <c r="A100" s="29"/>
      <c r="E100" s="330" t="s">
        <v>6993</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6879</v>
      </c>
      <c r="B1" s="401" t="s">
        <v>6876</v>
      </c>
      <c r="C1" s="401" t="s">
        <v>6875</v>
      </c>
      <c r="D1" s="428" t="s">
        <v>6877</v>
      </c>
      <c r="E1" s="429" t="s">
        <v>840</v>
      </c>
      <c r="F1" s="401" t="s">
        <v>190</v>
      </c>
      <c r="G1" s="429" t="s">
        <v>1046</v>
      </c>
      <c r="H1" s="428" t="s">
        <v>6878</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6882</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6883</v>
      </c>
      <c r="D18" s="467" t="s">
        <v>6884</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6728</v>
      </c>
    </row>
    <row r="5" spans="1:1">
      <c r="A5" t="s">
        <v>6729</v>
      </c>
    </row>
    <row r="6" spans="1:1">
      <c r="A6" t="s">
        <v>6730</v>
      </c>
    </row>
    <row r="7" spans="1:1">
      <c r="A7" t="s">
        <v>6731</v>
      </c>
    </row>
    <row r="8" spans="1:1">
      <c r="A8" t="s">
        <v>6732</v>
      </c>
    </row>
    <row r="9" spans="1:1">
      <c r="A9" t="s">
        <v>6733</v>
      </c>
    </row>
    <row r="11" spans="1:1">
      <c r="A11" t="s">
        <v>6734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6747</v>
      </c>
      <c r="D1" s="123" t="s">
        <v>6748</v>
      </c>
      <c r="E1" s="123" t="s">
        <v>6767</v>
      </c>
      <c r="F1" s="246" t="s">
        <v>6476</v>
      </c>
      <c r="G1" s="123" t="s">
        <v>6475</v>
      </c>
      <c r="H1" s="246" t="s">
        <v>6720</v>
      </c>
      <c r="I1" s="123" t="s">
        <v>6721</v>
      </c>
      <c r="J1" s="246" t="s">
        <v>6477</v>
      </c>
      <c r="K1" s="123" t="s">
        <v>6478</v>
      </c>
      <c r="L1" s="123" t="s">
        <v>6027</v>
      </c>
      <c r="M1" s="123" t="s">
        <v>6617</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6768</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6751</v>
      </c>
      <c r="D1" s="123" t="s">
        <v>6752</v>
      </c>
      <c r="E1" s="123" t="s">
        <v>6753</v>
      </c>
      <c r="F1" s="123" t="s">
        <v>6754</v>
      </c>
      <c r="G1" s="246" t="s">
        <v>6476</v>
      </c>
      <c r="H1" s="123" t="s">
        <v>6475</v>
      </c>
      <c r="I1" s="123" t="s">
        <v>6690</v>
      </c>
      <c r="J1" s="123" t="s">
        <v>6694</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6623</v>
      </c>
      <c r="C1" s="28" t="s">
        <v>6624</v>
      </c>
      <c r="D1" s="28" t="s">
        <v>6625</v>
      </c>
      <c r="E1" s="277" t="s">
        <v>6693</v>
      </c>
      <c r="F1" s="277" t="s">
        <v>6747</v>
      </c>
      <c r="G1" s="277" t="s">
        <v>6748</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6749</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6750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6627</v>
      </c>
      <c r="B31" s="222">
        <v>109</v>
      </c>
      <c r="C31" s="222">
        <v>47</v>
      </c>
      <c r="D31" s="222">
        <v>104.7</v>
      </c>
      <c r="E31" s="222">
        <v>115</v>
      </c>
      <c r="F31" s="222"/>
      <c r="G31" s="222"/>
      <c r="H31" s="222">
        <v>839</v>
      </c>
      <c r="J31" t="s">
        <v>25</v>
      </c>
    </row>
    <row r="32" spans="1:10">
      <c r="A32" s="28" t="s">
        <v>6632</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6688</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6629</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6637</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6751</v>
      </c>
      <c r="D1" s="246" t="s">
        <v>6752</v>
      </c>
      <c r="E1" s="246" t="s">
        <v>6709</v>
      </c>
      <c r="F1" s="246" t="s">
        <v>6820</v>
      </c>
      <c r="G1" s="246" t="s">
        <v>6476</v>
      </c>
      <c r="H1" s="123" t="s">
        <v>6475</v>
      </c>
      <c r="I1" s="246" t="s">
        <v>6709</v>
      </c>
      <c r="J1" s="123" t="s">
        <v>6821</v>
      </c>
      <c r="K1" s="246" t="s">
        <v>6477</v>
      </c>
      <c r="L1" s="123" t="s">
        <v>6478</v>
      </c>
      <c r="M1" s="123" t="s">
        <v>6027</v>
      </c>
      <c r="N1" s="123" t="s">
        <v>6822</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7003</v>
      </c>
      <c r="D1" s="239" t="s">
        <v>6710</v>
      </c>
      <c r="E1" s="281" t="s">
        <v>6753</v>
      </c>
      <c r="F1" s="239" t="s">
        <v>6711</v>
      </c>
      <c r="G1" s="239" t="s">
        <v>6648</v>
      </c>
      <c r="H1" s="239" t="s">
        <v>6710</v>
      </c>
      <c r="I1" s="239" t="s">
        <v>6690</v>
      </c>
      <c r="J1" s="239" t="s">
        <v>6711</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6629</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6644</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6712</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6642</v>
      </c>
      <c r="B14" s="239" t="s">
        <v>4711</v>
      </c>
      <c r="C14" s="281" t="s">
        <v>7003</v>
      </c>
      <c r="D14" s="239" t="s">
        <v>6646</v>
      </c>
      <c r="E14" s="281" t="s">
        <v>6753</v>
      </c>
      <c r="F14" s="239" t="s">
        <v>6647</v>
      </c>
      <c r="G14" s="239" t="s">
        <v>6648</v>
      </c>
      <c r="H14" s="239" t="s">
        <v>6646</v>
      </c>
      <c r="I14" s="239" t="s">
        <v>6690</v>
      </c>
      <c r="J14" s="239" t="s">
        <v>6647</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6643</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6626</v>
      </c>
      <c r="B41" s="294" t="s">
        <v>4711</v>
      </c>
      <c r="C41" s="294" t="s">
        <v>7003</v>
      </c>
      <c r="D41" s="294" t="s">
        <v>6649</v>
      </c>
      <c r="E41" s="294" t="s">
        <v>7004</v>
      </c>
      <c r="F41" s="294" t="s">
        <v>6650</v>
      </c>
      <c r="G41" s="294" t="s">
        <v>6648</v>
      </c>
      <c r="H41" s="294" t="s">
        <v>6649</v>
      </c>
      <c r="I41" s="294" t="s">
        <v>6690</v>
      </c>
      <c r="J41" s="294" t="s">
        <v>6650</v>
      </c>
      <c r="K41" s="294" t="s">
        <v>4163</v>
      </c>
      <c r="L41" s="294" t="s">
        <v>6645</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6627</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6630</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6628</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6688</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6631</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6689</v>
      </c>
      <c r="L51" s="296" t="s">
        <v>4426</v>
      </c>
    </row>
    <row r="53" spans="1:16" ht="18.75">
      <c r="A53" s="584"/>
      <c r="B53" s="584" t="s">
        <v>4711</v>
      </c>
      <c r="C53" s="584" t="s">
        <v>7057</v>
      </c>
      <c r="D53" s="584" t="s">
        <v>7059</v>
      </c>
      <c r="E53" s="584" t="s">
        <v>7058</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7054</v>
      </c>
      <c r="B57" s="585">
        <v>3867671312</v>
      </c>
      <c r="C57" s="586">
        <v>386</v>
      </c>
      <c r="D57" s="587">
        <f t="shared" si="14"/>
        <v>0.91254347581418094</v>
      </c>
      <c r="E57" s="586">
        <f t="shared" si="15"/>
        <v>1492921126432</v>
      </c>
      <c r="G57" s="583"/>
      <c r="H57" s="583"/>
      <c r="I57" s="583"/>
      <c r="J57" s="583"/>
      <c r="K57" s="583"/>
      <c r="L57" s="583"/>
    </row>
    <row r="58" spans="1:16" ht="18.75">
      <c r="A58" s="584" t="s">
        <v>7055</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7056</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6603</v>
      </c>
      <c r="B131" s="270">
        <v>4000</v>
      </c>
      <c r="C131" s="271"/>
      <c r="D131" s="271"/>
      <c r="E131" s="271"/>
      <c r="F131" s="271"/>
      <c r="G131" s="271"/>
      <c r="H131" s="271"/>
      <c r="I131" s="271"/>
      <c r="J131" s="271"/>
      <c r="K131" s="271"/>
      <c r="L131" s="271"/>
      <c r="Y131" t="s">
        <v>25</v>
      </c>
    </row>
    <row r="132" spans="1:25" ht="30">
      <c r="A132" s="270" t="s">
        <v>6602</v>
      </c>
      <c r="B132" s="270">
        <v>2134</v>
      </c>
      <c r="C132" s="271"/>
      <c r="D132" s="271"/>
      <c r="E132" s="271"/>
      <c r="F132" s="271"/>
      <c r="G132" s="272" t="s">
        <v>6599</v>
      </c>
      <c r="H132" s="273" t="s">
        <v>6600</v>
      </c>
      <c r="I132" s="273"/>
      <c r="J132" s="273"/>
      <c r="K132" s="273" t="s">
        <v>6601</v>
      </c>
      <c r="L132" s="273" t="s">
        <v>6604</v>
      </c>
    </row>
    <row r="133" spans="1:25" ht="15.75">
      <c r="A133" s="272"/>
      <c r="B133" s="270" t="s">
        <v>6597</v>
      </c>
      <c r="C133" s="270" t="s">
        <v>4716</v>
      </c>
      <c r="D133" s="270" t="s">
        <v>5636</v>
      </c>
      <c r="E133" s="272" t="s">
        <v>4134</v>
      </c>
      <c r="F133" s="272" t="s">
        <v>6598</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6786</v>
      </c>
      <c r="B1" s="2">
        <v>10320481438</v>
      </c>
      <c r="C1" s="2"/>
      <c r="D1" s="2"/>
      <c r="E1" s="2"/>
      <c r="F1" s="2"/>
      <c r="G1" s="2"/>
      <c r="H1" s="2"/>
      <c r="I1" s="2"/>
      <c r="J1" s="2"/>
      <c r="K1" s="2"/>
    </row>
    <row r="2" spans="1:11">
      <c r="A2" s="2" t="s">
        <v>6787</v>
      </c>
      <c r="B2" s="2">
        <v>397032</v>
      </c>
      <c r="C2" s="2"/>
      <c r="D2" s="2"/>
      <c r="E2" s="2"/>
      <c r="F2" s="2"/>
      <c r="G2" s="2"/>
      <c r="H2" s="2"/>
      <c r="I2" s="2"/>
      <c r="J2" s="2"/>
      <c r="K2" s="2"/>
    </row>
    <row r="3" spans="1:11">
      <c r="A3" s="2" t="s">
        <v>6788</v>
      </c>
      <c r="B3" s="2" t="s">
        <v>6789</v>
      </c>
      <c r="C3" s="2" t="s">
        <v>6792</v>
      </c>
      <c r="D3" s="2"/>
      <c r="E3" s="2"/>
      <c r="F3" s="2"/>
      <c r="G3" s="2"/>
      <c r="H3" s="2"/>
      <c r="I3" s="2"/>
      <c r="J3" s="2"/>
      <c r="K3" s="2"/>
    </row>
    <row r="4" spans="1:11">
      <c r="A4" s="2" t="s">
        <v>6790</v>
      </c>
      <c r="B4" s="2" t="s">
        <v>6791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6794</v>
      </c>
    </row>
    <row r="40" spans="1:11">
      <c r="A40" t="s">
        <v>4716</v>
      </c>
    </row>
    <row r="41" spans="1:11">
      <c r="A41" s="11" t="s">
        <v>6815</v>
      </c>
      <c r="B41" s="11" t="s">
        <v>6816</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6605</v>
      </c>
      <c r="B138" s="18">
        <v>2000000</v>
      </c>
      <c r="C138" s="2">
        <v>21</v>
      </c>
      <c r="D138" s="2">
        <f t="shared" si="8"/>
        <v>66</v>
      </c>
      <c r="E138" s="18">
        <f t="shared" si="9"/>
        <v>132000000</v>
      </c>
      <c r="F138" s="2"/>
    </row>
    <row r="139" spans="1:6">
      <c r="A139" s="2" t="s">
        <v>6609</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6612</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6641</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6668</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7042</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7042</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6682</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6766</v>
      </c>
      <c r="I40" s="354">
        <v>304700</v>
      </c>
      <c r="J40" s="354" t="s">
        <v>680</v>
      </c>
    </row>
    <row r="41" spans="6:23">
      <c r="G41" s="354">
        <f t="shared" si="5"/>
        <v>14000</v>
      </c>
      <c r="H41" s="354" t="s">
        <v>6695</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6715</v>
      </c>
      <c r="I48" s="354">
        <v>301000</v>
      </c>
      <c r="J48" s="354" t="s">
        <v>6147</v>
      </c>
    </row>
    <row r="49" spans="7:21">
      <c r="G49" s="354">
        <f t="shared" si="5"/>
        <v>11800</v>
      </c>
      <c r="H49" s="354" t="s">
        <v>6742</v>
      </c>
      <c r="I49" s="354">
        <v>303200</v>
      </c>
      <c r="J49" s="354" t="s">
        <v>5572</v>
      </c>
    </row>
    <row r="50" spans="7:21">
      <c r="G50" s="354">
        <f t="shared" si="5"/>
        <v>10300</v>
      </c>
      <c r="H50" s="354" t="s">
        <v>6766</v>
      </c>
      <c r="I50" s="354">
        <v>304700</v>
      </c>
      <c r="J50" s="354" t="s">
        <v>6760</v>
      </c>
      <c r="O50" t="s">
        <v>25</v>
      </c>
    </row>
    <row r="51" spans="7:21">
      <c r="G51" s="170">
        <f t="shared" si="5"/>
        <v>6000</v>
      </c>
      <c r="H51" s="170" t="s">
        <v>6848</v>
      </c>
      <c r="I51" s="170">
        <v>309000</v>
      </c>
      <c r="J51" s="170" t="s">
        <v>6851</v>
      </c>
      <c r="Q51" s="46"/>
      <c r="S51" s="46"/>
      <c r="U51" s="7"/>
    </row>
    <row r="52" spans="7:21">
      <c r="G52" s="170">
        <f t="shared" si="5"/>
        <v>2000</v>
      </c>
      <c r="H52" s="170" t="s">
        <v>7043</v>
      </c>
      <c r="I52" s="170">
        <v>313000</v>
      </c>
      <c r="J52" s="170" t="s">
        <v>6852</v>
      </c>
      <c r="O52" s="45"/>
      <c r="Q52" s="46"/>
      <c r="S52" s="46"/>
      <c r="U52" s="7"/>
    </row>
    <row r="53" spans="7:21">
      <c r="G53" s="354"/>
      <c r="H53" s="354" t="s">
        <v>6745</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6783</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6740</v>
      </c>
      <c r="I62" s="354">
        <v>63000</v>
      </c>
      <c r="J62" s="354" t="s">
        <v>524</v>
      </c>
      <c r="S62" s="46"/>
    </row>
    <row r="63" spans="7:21">
      <c r="G63" s="354">
        <f t="shared" si="6"/>
        <v>39500</v>
      </c>
      <c r="H63" s="354" t="s">
        <v>5545</v>
      </c>
      <c r="I63" s="354">
        <v>42500</v>
      </c>
      <c r="J63" s="354" t="s">
        <v>525</v>
      </c>
      <c r="S63" s="7"/>
    </row>
    <row r="64" spans="7:21">
      <c r="G64" s="354">
        <f t="shared" si="6"/>
        <v>8673</v>
      </c>
      <c r="H64" s="354" t="s">
        <v>7044</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6850</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6740</v>
      </c>
      <c r="I77" s="354">
        <v>63000</v>
      </c>
      <c r="J77" s="354" t="s">
        <v>6741</v>
      </c>
    </row>
    <row r="78" spans="7:17">
      <c r="G78" s="354">
        <f>$I$81-I78</f>
        <v>16000</v>
      </c>
      <c r="H78" s="354" t="s">
        <v>6759</v>
      </c>
      <c r="I78" s="354">
        <v>66000</v>
      </c>
      <c r="J78" s="354" t="s">
        <v>6760</v>
      </c>
      <c r="Q78" s="395"/>
    </row>
    <row r="79" spans="7:17">
      <c r="G79" s="170"/>
      <c r="H79" s="170" t="s">
        <v>7045</v>
      </c>
      <c r="I79" s="170"/>
      <c r="J79" s="170" t="s">
        <v>6851</v>
      </c>
    </row>
    <row r="80" spans="7:17">
      <c r="G80" s="170"/>
      <c r="H80" s="170" t="s">
        <v>6853</v>
      </c>
      <c r="I80" s="170"/>
      <c r="J80" s="170" t="s">
        <v>6852</v>
      </c>
    </row>
    <row r="81" spans="7:10">
      <c r="G81" s="354"/>
      <c r="H81" s="354" t="s">
        <v>6596</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6762</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6763</v>
      </c>
      <c r="Z31" s="36" t="s">
        <v>5082</v>
      </c>
      <c r="AA31" t="s">
        <v>6003</v>
      </c>
      <c r="AB31" s="36" t="s">
        <v>6761</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2062</v>
      </c>
      <c r="H4" s="37">
        <f>C4*G4</f>
        <v>608290000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2062</v>
      </c>
      <c r="H19" s="37">
        <f>C19*G19</f>
        <v>26674032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2023-09-26T11:00:02Z</dcterms:modified>
</cp:coreProperties>
</file>