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4" i="18" l="1"/>
  <c r="H10" i="60"/>
  <c r="H12" i="60"/>
  <c r="O34" i="18" l="1"/>
  <c r="B159" i="60" l="1"/>
  <c r="C158" i="60"/>
  <c r="C157" i="60"/>
  <c r="C156" i="60"/>
  <c r="C159" i="60"/>
  <c r="T22" i="63" l="1"/>
  <c r="P34" i="63"/>
  <c r="N19" i="60" l="1"/>
  <c r="N18" i="60"/>
  <c r="N17" i="60"/>
  <c r="N16" i="60"/>
  <c r="F38" i="60"/>
  <c r="I29" i="63" l="1"/>
  <c r="H14" i="60"/>
  <c r="U22" i="63"/>
  <c r="R16" i="63" l="1"/>
  <c r="H25" i="60" l="1"/>
  <c r="F12" i="60"/>
  <c r="J19" i="60" l="1"/>
  <c r="J18" i="60"/>
  <c r="J17" i="60"/>
  <c r="J16" i="60"/>
  <c r="D19" i="60"/>
  <c r="D38" i="60"/>
  <c r="F19" i="60"/>
  <c r="F33" i="60"/>
  <c r="F34" i="60"/>
  <c r="F35" i="60"/>
  <c r="F36" i="60"/>
  <c r="F37" i="60"/>
  <c r="D33" i="60"/>
  <c r="D34" i="60"/>
  <c r="D35" i="60"/>
  <c r="D36" i="60"/>
  <c r="D37" i="60"/>
  <c r="D32" i="60"/>
  <c r="F32" i="60"/>
  <c r="F40" i="60" s="1"/>
  <c r="D40" i="60" l="1"/>
  <c r="R17" i="63"/>
  <c r="R7" i="60" l="1"/>
  <c r="R9" i="60"/>
  <c r="R10" i="60"/>
  <c r="R11" i="60"/>
  <c r="R12" i="60"/>
  <c r="R13" i="60"/>
  <c r="R14" i="60"/>
  <c r="L41" i="18"/>
  <c r="R148" i="60" l="1"/>
  <c r="D17" i="60"/>
  <c r="D18" i="60"/>
  <c r="D16" i="60"/>
  <c r="F17" i="60"/>
  <c r="F18" i="60"/>
  <c r="F16" i="60"/>
  <c r="R147" i="60" l="1"/>
  <c r="W493" i="18"/>
  <c r="W492" i="18"/>
  <c r="R146" i="60" l="1"/>
  <c r="S147" i="60"/>
  <c r="R145" i="60" l="1"/>
  <c r="S146" i="60"/>
  <c r="I34" i="63"/>
  <c r="J34" i="63" s="1"/>
  <c r="R144" i="60" l="1"/>
  <c r="S145" i="60"/>
  <c r="I32" i="63"/>
  <c r="H29" i="63"/>
  <c r="J29" i="63" s="1"/>
  <c r="G29" i="63"/>
  <c r="R143" i="60" l="1"/>
  <c r="S144" i="60"/>
  <c r="K29"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49" i="63"/>
  <c r="D50" i="63"/>
  <c r="D48" i="63"/>
  <c r="K34" i="63"/>
  <c r="R140" i="60" l="1"/>
  <c r="S141" i="60"/>
  <c r="D59" i="63"/>
  <c r="B63" i="63" s="1"/>
  <c r="J32" i="63"/>
  <c r="I33" i="63"/>
  <c r="J33" i="63" s="1"/>
  <c r="K33"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Q22" i="63"/>
  <c r="P22" i="63"/>
  <c r="R135" i="60" l="1"/>
  <c r="S136" i="60"/>
  <c r="W489" i="18"/>
  <c r="W488" i="18"/>
  <c r="W487" i="18"/>
  <c r="G28" i="63"/>
  <c r="H28" i="63"/>
  <c r="Q35" i="63"/>
  <c r="P35" i="63"/>
  <c r="Q34" i="63"/>
  <c r="J28" i="63" l="1"/>
  <c r="K28" i="63" s="1"/>
  <c r="R134" i="60"/>
  <c r="S135" i="60"/>
  <c r="W486" i="18"/>
  <c r="R133" i="60" l="1"/>
  <c r="S134" i="60"/>
  <c r="I27" i="63"/>
  <c r="I26" i="63"/>
  <c r="H27" i="63"/>
  <c r="N28" i="63" s="1"/>
  <c r="H26" i="63"/>
  <c r="I40" i="63"/>
  <c r="I41" i="63"/>
  <c r="I42" i="63"/>
  <c r="I43" i="63"/>
  <c r="I39"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0" i="63"/>
  <c r="J30" i="63" s="1"/>
  <c r="K30" i="63" s="1"/>
  <c r="G30"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39" i="63"/>
  <c r="H39" i="63"/>
  <c r="J39" i="63" s="1"/>
  <c r="K39"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49" i="60"/>
  <c r="S89" i="60" l="1"/>
  <c r="R88" i="60"/>
  <c r="W453" i="18"/>
  <c r="R87" i="60" l="1"/>
  <c r="S88" i="60"/>
  <c r="W452" i="18"/>
  <c r="R86" i="60" l="1"/>
  <c r="S87" i="60"/>
  <c r="H10" i="63"/>
  <c r="R85" i="60" l="1"/>
  <c r="S86" i="60"/>
  <c r="J10" i="63"/>
  <c r="K10" i="63" s="1"/>
  <c r="N11" i="63"/>
  <c r="F49" i="60"/>
  <c r="G49" i="60" s="1"/>
  <c r="R84" i="60" l="1"/>
  <c r="S85" i="60"/>
  <c r="G41" i="63"/>
  <c r="H41" i="63"/>
  <c r="J41" i="63" s="1"/>
  <c r="K41" i="63" s="1"/>
  <c r="G42" i="63"/>
  <c r="H42" i="63"/>
  <c r="J42" i="63" s="1"/>
  <c r="G43" i="63"/>
  <c r="H43" i="63"/>
  <c r="J43" i="63" s="1"/>
  <c r="K43" i="63" s="1"/>
  <c r="G40" i="63"/>
  <c r="H40" i="63"/>
  <c r="J40" i="63" s="1"/>
  <c r="K40" i="63" s="1"/>
  <c r="W451" i="18"/>
  <c r="R83" i="60" l="1"/>
  <c r="S84" i="60"/>
  <c r="K42" i="63"/>
  <c r="Q11" i="63"/>
  <c r="N43" i="63"/>
  <c r="N41" i="63"/>
  <c r="N42" i="63"/>
  <c r="N40"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49"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95" i="18"/>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S143" i="18"/>
  <c r="W142" i="18" l="1"/>
  <c r="S144" i="18"/>
  <c r="S145" i="18" s="1"/>
  <c r="V143" i="18"/>
  <c r="V144" i="18" l="1"/>
  <c r="W143" i="18"/>
  <c r="X143" i="18"/>
  <c r="W144" i="18"/>
  <c r="X144" i="18"/>
  <c r="V145" i="18" l="1"/>
  <c r="X145" i="18" s="1"/>
  <c r="S146" i="18"/>
  <c r="S147" i="18" s="1"/>
  <c r="W145" i="18" l="1"/>
  <c r="V146" i="18"/>
  <c r="S148" i="18" l="1"/>
  <c r="S149" i="18" s="1"/>
  <c r="X146" i="18"/>
  <c r="W146" i="18"/>
  <c r="V149" i="18" l="1"/>
  <c r="W149" i="18" s="1"/>
  <c r="S150" i="18"/>
  <c r="V147" i="18"/>
  <c r="V148" i="18"/>
  <c r="X149" i="18" l="1"/>
  <c r="S151" i="18"/>
  <c r="V150" i="18"/>
  <c r="W148" i="18"/>
  <c r="X148" i="18"/>
  <c r="W147" i="18"/>
  <c r="X147" i="18"/>
  <c r="W150" i="18" l="1"/>
  <c r="X150" i="18"/>
</calcChain>
</file>

<file path=xl/sharedStrings.xml><?xml version="1.0" encoding="utf-8"?>
<sst xmlns="http://schemas.openxmlformats.org/spreadsheetml/2006/main" count="15696" uniqueCount="6574">
  <si>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</si>
  <si>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</si>
  <si>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</si>
  <si>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</si>
  <si>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</si>
  <si>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</si>
  <si>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</si>
  <si>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</si>
  <si>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</si>
  <si>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</si>
  <si>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</si>
  <si>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</si>
  <si>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</si>
  <si>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</si>
  <si>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</si>
  <si>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</si>
  <si>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</si>
  <si>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</si>
  <si>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</si>
  <si>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</si>
  <si>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</si>
  <si>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</si>
  <si>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</si>
  <si>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</si>
  <si>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</si>
  <si>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</si>
  <si>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</si>
  <si>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</si>
  <si>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</si>
  <si>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</si>
  <si>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</si>
  <si>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</si>
  <si>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</si>
  <si>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</si>
  <si>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</si>
  <si>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</si>
  <si>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</si>
  <si>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</si>
  <si>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</si>
  <si>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</si>
  <si>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</si>
  <si>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</si>
  <si>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</si>
  <si>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</si>
  <si>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</si>
  <si>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</si>
  <si>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</si>
  <si>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</si>
  <si>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</si>
  <si>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</si>
  <si>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</si>
  <si>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</si>
  <si>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</si>
  <si>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</si>
  <si>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</si>
  <si>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</si>
  <si>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</si>
  <si>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</si>
  <si>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</si>
  <si>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</si>
  <si>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</si>
  <si>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</si>
  <si>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</si>
  <si>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</si>
  <si>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</si>
  <si>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</si>
  <si>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</si>
  <si>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</si>
  <si>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</si>
  <si>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</si>
  <si>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</si>
  <si>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</si>
  <si>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</si>
  <si>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</si>
  <si>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</si>
  <si>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</si>
  <si>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</si>
  <si>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</si>
  <si>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</si>
  <si>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</si>
  <si>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</si>
  <si>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</si>
  <si>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</si>
  <si>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</si>
  <si>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</si>
  <si>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</si>
  <si>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</si>
  <si>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</si>
  <si>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</si>
  <si>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</si>
  <si>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</si>
  <si>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</si>
  <si>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</si>
  <si>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</si>
  <si>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</si>
  <si>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</si>
  <si>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</si>
  <si>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</si>
  <si>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</si>
  <si>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</si>
  <si>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</si>
  <si>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</si>
  <si>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</si>
  <si>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</si>
  <si>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</si>
  <si>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</si>
  <si>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</si>
  <si>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</si>
  <si>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</si>
  <si>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</si>
  <si>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</si>
  <si>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</si>
  <si>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</si>
  <si>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</si>
  <si>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</si>
  <si>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</si>
  <si>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</si>
  <si>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</si>
  <si>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</si>
  <si>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</si>
  <si>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</si>
  <si>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</si>
  <si>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</si>
  <si>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</si>
  <si>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</si>
  <si>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</si>
  <si>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</si>
  <si>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</si>
  <si>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</si>
  <si>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</si>
  <si>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</si>
  <si>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</si>
  <si>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</si>
  <si>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</si>
  <si>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</si>
  <si>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</si>
  <si>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</si>
  <si>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</si>
  <si>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</si>
  <si>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</si>
  <si>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</si>
  <si>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</si>
  <si>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</si>
  <si>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</si>
  <si>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</si>
  <si>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</si>
  <si>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</si>
  <si>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</si>
  <si>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</si>
  <si>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</si>
  <si>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</si>
  <si>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</si>
  <si>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</si>
  <si>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</si>
  <si>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</si>
  <si>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</si>
  <si>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</si>
  <si>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</si>
  <si>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</si>
  <si>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</si>
  <si>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</si>
  <si>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</si>
  <si>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</si>
  <si>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</si>
  <si>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</si>
  <si>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</si>
  <si>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</si>
  <si>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</si>
  <si>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</si>
  <si>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</si>
  <si>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</si>
  <si>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</si>
  <si>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</si>
  <si>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</si>
  <si>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</si>
  <si>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</si>
  <si>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</si>
  <si>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</si>
  <si>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</si>
  <si>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</si>
  <si>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</si>
  <si>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</si>
  <si>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</si>
  <si>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</si>
  <si>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</si>
  <si>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</si>
  <si>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</si>
  <si>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</si>
  <si>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</si>
  <si>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</si>
  <si>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</si>
  <si>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</si>
  <si>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</si>
  <si>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</si>
  <si>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</si>
  <si>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</si>
  <si>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</si>
  <si>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</si>
  <si>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</si>
  <si>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</si>
  <si>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</si>
  <si>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</si>
  <si>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</si>
  <si>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</si>
  <si>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</si>
  <si>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</si>
  <si>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</si>
  <si>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</si>
  <si>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</si>
  <si>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</si>
  <si>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</si>
  <si>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</si>
  <si>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</si>
  <si>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</si>
  <si>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</si>
  <si>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</si>
  <si>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</si>
  <si>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</si>
  <si>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</si>
  <si>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</si>
  <si>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</si>
  <si>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</si>
  <si>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</si>
  <si>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</si>
  <si>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</si>
  <si>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</si>
  <si>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</si>
  <si>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</si>
  <si>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</si>
  <si>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</si>
  <si>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</si>
  <si>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</si>
  <si>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</si>
  <si>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</si>
  <si>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</si>
  <si>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</si>
  <si>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</si>
  <si>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</si>
  <si>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</si>
  <si>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</si>
  <si>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</si>
  <si>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</si>
  <si>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</si>
  <si>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</si>
  <si>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</si>
  <si>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</si>
  <si>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</si>
  <si>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</si>
  <si>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</si>
  <si>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</si>
  <si>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</si>
  <si>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</si>
  <si>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</si>
  <si>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</si>
  <si>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</si>
  <si>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</si>
  <si>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</si>
  <si>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</si>
  <si>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</si>
  <si>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</si>
  <si>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</si>
  <si>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</si>
  <si>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</si>
  <si>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</si>
  <si>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</si>
  <si>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</si>
  <si>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</si>
  <si>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</si>
  <si>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</si>
  <si>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</si>
  <si>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</si>
  <si>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</si>
  <si>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</si>
  <si>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</si>
  <si>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</si>
  <si>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</si>
  <si>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</si>
  <si>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</si>
  <si>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</si>
  <si>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</si>
  <si>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</si>
  <si>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</si>
  <si>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</si>
  <si>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</si>
  <si>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</si>
  <si>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</si>
  <si>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</si>
  <si>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</si>
  <si>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</si>
  <si>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</si>
  <si>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</si>
  <si>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</si>
  <si>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</si>
  <si>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</si>
  <si>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</si>
  <si>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</si>
  <si>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</si>
  <si>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</si>
  <si>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</si>
  <si>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</si>
  <si>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</si>
  <si>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</si>
  <si>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</si>
  <si>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</si>
  <si>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</si>
  <si>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</si>
  <si>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</si>
  <si>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</si>
  <si>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</si>
  <si>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</si>
  <si>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</si>
  <si>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</si>
  <si>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</si>
  <si>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</si>
  <si>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</si>
  <si>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</si>
  <si>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</si>
  <si>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</si>
  <si>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</si>
  <si>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</si>
  <si>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</si>
  <si>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</si>
  <si>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</si>
  <si>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</si>
  <si>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</si>
  <si>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</si>
  <si>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</si>
  <si>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</si>
  <si>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</si>
  <si>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</si>
  <si>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</si>
  <si>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</si>
  <si>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</si>
  <si>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</si>
  <si>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</si>
  <si>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</si>
  <si>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</si>
  <si>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</si>
  <si>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</si>
  <si>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</si>
  <si>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</si>
  <si>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</si>
  <si>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</si>
  <si>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</si>
  <si>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</si>
  <si>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</si>
  <si>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</si>
  <si>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</si>
  <si>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</si>
  <si>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</si>
  <si>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</si>
  <si>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</si>
  <si>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</si>
  <si>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</si>
  <si>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</si>
  <si>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</si>
  <si>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</si>
  <si>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</si>
  <si>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</si>
  <si>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</si>
  <si>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</si>
  <si>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</si>
  <si>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</si>
  <si>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</si>
  <si>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</si>
  <si>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</si>
  <si>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</si>
  <si>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</si>
  <si>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</si>
  <si>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</si>
  <si>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</si>
  <si>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</si>
  <si>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</si>
  <si>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</si>
  <si>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</si>
  <si>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</si>
  <si>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</si>
  <si>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</si>
  <si>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</si>
  <si>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</si>
  <si>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</si>
  <si>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</si>
  <si>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</si>
  <si>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</si>
  <si>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</si>
  <si>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</si>
  <si>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</si>
  <si>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</si>
  <si>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</si>
  <si>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</si>
  <si>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</si>
  <si>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</si>
  <si>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</si>
  <si>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</si>
  <si>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</si>
  <si>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</si>
  <si>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</si>
  <si>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</si>
  <si>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</si>
  <si>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</si>
  <si>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</si>
  <si>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</si>
  <si>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</si>
  <si>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</si>
  <si>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</si>
  <si>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</si>
  <si>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</si>
  <si>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</si>
  <si>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</si>
  <si>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</si>
  <si>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</si>
  <si>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</si>
  <si>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</si>
  <si>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</si>
  <si>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</si>
  <si>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</si>
  <si>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</si>
  <si>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</si>
  <si>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</si>
  <si>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</si>
  <si>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</si>
  <si>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</si>
  <si>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</si>
  <si>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</si>
  <si>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</si>
  <si>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</si>
  <si>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</si>
  <si>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</si>
  <si>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</si>
  <si>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</si>
  <si>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</si>
  <si>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</si>
  <si>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</si>
  <si>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</si>
  <si>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</si>
  <si>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</si>
  <si>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</si>
  <si>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</si>
  <si>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</si>
  <si>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</si>
  <si>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</si>
  <si>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</si>
  <si>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</si>
  <si>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</si>
  <si>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</si>
  <si>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</si>
  <si>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</si>
  <si>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</si>
  <si>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</si>
  <si>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</si>
  <si>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</si>
  <si>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</si>
  <si>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</si>
  <si>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</si>
  <si>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</si>
  <si>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</si>
  <si>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</si>
  <si>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</si>
  <si>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</si>
  <si>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</si>
  <si>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</si>
  <si>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</si>
  <si>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</si>
  <si>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</si>
  <si>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</si>
  <si>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</si>
  <si>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</si>
  <si>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</si>
  <si>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</si>
  <si>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</si>
  <si>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</si>
  <si>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</si>
  <si>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</si>
  <si>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</si>
  <si>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</si>
  <si>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</si>
  <si>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</si>
  <si>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</si>
  <si>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</si>
  <si>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</si>
  <si>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</si>
  <si>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</si>
  <si>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</si>
  <si>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</si>
  <si>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</si>
  <si>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</si>
  <si>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</si>
  <si>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</si>
  <si>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</si>
  <si>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</si>
  <si>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</si>
  <si>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</si>
  <si>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</si>
  <si>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</si>
  <si>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</si>
  <si>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</si>
  <si>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</si>
  <si>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</si>
  <si>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</si>
  <si>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</si>
  <si>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</si>
  <si>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</si>
  <si>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</si>
  <si>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</si>
  <si>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</si>
  <si>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</si>
  <si>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</si>
  <si>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</si>
  <si>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</si>
  <si>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</si>
  <si>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</si>
  <si>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</si>
  <si>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</si>
  <si>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</si>
  <si>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</si>
  <si>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</si>
  <si>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</si>
  <si>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</si>
  <si>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</si>
  <si>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</si>
  <si>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</si>
  <si>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</si>
  <si>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</si>
  <si>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</si>
  <si>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</si>
  <si>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</si>
  <si>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</si>
  <si>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</si>
  <si>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</si>
  <si>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</si>
  <si>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</si>
  <si>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</si>
  <si>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</si>
  <si>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</si>
  <si>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</si>
  <si>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</si>
  <si>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</si>
  <si>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</si>
  <si>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</si>
  <si>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</si>
  <si>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</si>
  <si>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</si>
  <si>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</si>
  <si>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</si>
  <si>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</si>
  <si>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</si>
  <si>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</si>
  <si>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</si>
  <si>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</si>
  <si>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</si>
  <si>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</si>
  <si>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</si>
  <si>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</si>
  <si>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</si>
  <si>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</si>
  <si>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</si>
  <si>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</si>
  <si>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</si>
  <si>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</si>
  <si>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</si>
  <si>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</si>
  <si>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</si>
  <si>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</si>
  <si>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</si>
  <si>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</si>
  <si>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</si>
  <si>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</si>
  <si>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</si>
  <si>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</si>
  <si>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</si>
  <si>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</si>
  <si>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</si>
  <si>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</si>
  <si>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</si>
  <si>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</si>
  <si>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</si>
  <si>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</si>
  <si>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</si>
  <si>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</si>
  <si>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</si>
  <si>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</si>
  <si>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</si>
  <si>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</si>
  <si>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</si>
  <si>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</si>
  <si>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</si>
  <si>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</si>
  <si>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</si>
  <si>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</si>
  <si>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</si>
  <si>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</si>
  <si>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</si>
  <si>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</si>
  <si>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</si>
  <si>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</si>
  <si>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</si>
  <si>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</si>
  <si>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</si>
  <si>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</si>
  <si>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</si>
  <si>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</si>
  <si>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</si>
  <si>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</si>
  <si>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</si>
  <si>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</si>
  <si>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</si>
  <si>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</si>
  <si>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</si>
  <si>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</si>
  <si>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</si>
  <si>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</si>
  <si>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</si>
  <si>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</si>
  <si>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</si>
  <si>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</si>
  <si>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</si>
  <si>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</si>
  <si>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</si>
  <si>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</si>
  <si>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</si>
  <si>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</si>
  <si>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</si>
  <si>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</si>
  <si>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</si>
  <si>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</si>
  <si>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</si>
  <si>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</si>
  <si>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</si>
  <si>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</si>
  <si>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</si>
  <si>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</si>
  <si>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</si>
  <si>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</si>
  <si>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</si>
  <si>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</si>
  <si>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</si>
  <si>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</si>
  <si>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</si>
  <si>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</si>
  <si>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</si>
  <si>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</si>
  <si>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</si>
  <si>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</si>
  <si>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</si>
  <si>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</si>
  <si>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</si>
  <si>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</si>
  <si>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</si>
  <si>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</si>
  <si>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</si>
  <si>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</si>
  <si>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</si>
  <si>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</si>
  <si>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</si>
  <si>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</si>
  <si>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</si>
  <si>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</si>
  <si>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</si>
  <si>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</si>
  <si>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</si>
  <si>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</si>
  <si>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</si>
  <si>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</si>
  <si>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</si>
  <si>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</si>
  <si>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</si>
  <si>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</si>
  <si>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</si>
  <si>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</si>
  <si>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</si>
  <si>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</si>
  <si>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</si>
  <si>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</si>
  <si>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</si>
  <si>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</si>
  <si>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</si>
  <si>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</si>
  <si>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</si>
  <si>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</si>
  <si>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</si>
  <si>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</si>
  <si>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</si>
  <si>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</si>
  <si>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</si>
  <si>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</si>
  <si>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</si>
  <si>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</si>
  <si>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</si>
  <si>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</si>
  <si>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</si>
  <si>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</si>
  <si>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</si>
  <si>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</si>
  <si>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</si>
  <si>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</si>
  <si>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</si>
  <si>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</si>
  <si>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</si>
  <si>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</si>
  <si>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</si>
  <si>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</si>
  <si>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</si>
  <si>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</si>
  <si>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</si>
  <si>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</si>
  <si>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</si>
  <si>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</si>
  <si>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</si>
  <si>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</si>
  <si>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</si>
  <si>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</si>
  <si>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</si>
  <si>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</si>
  <si>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</si>
  <si>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</si>
  <si>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</si>
  <si>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</si>
  <si>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</si>
  <si>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</si>
  <si>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</si>
  <si>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</si>
  <si>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</si>
  <si>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</si>
  <si>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</si>
  <si>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</si>
  <si>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</si>
  <si>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</si>
  <si>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</si>
  <si>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</si>
  <si>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</si>
  <si>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</si>
  <si>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</si>
  <si>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</si>
  <si>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</si>
  <si>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</si>
  <si>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</si>
  <si>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</si>
  <si>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</si>
  <si>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</si>
  <si>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</si>
  <si>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</si>
  <si>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</si>
  <si>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</si>
  <si>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</si>
  <si>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</si>
  <si>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</si>
  <si>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</si>
  <si>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</si>
  <si>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</si>
  <si>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</si>
  <si>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</si>
  <si>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</si>
  <si>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</si>
  <si>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</si>
  <si>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</si>
  <si>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</si>
  <si>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</si>
  <si>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</si>
  <si>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</si>
  <si>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</si>
  <si>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</si>
  <si>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</si>
  <si>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</si>
  <si>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</si>
  <si>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</si>
  <si>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</si>
  <si>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</si>
  <si>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</si>
  <si>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</si>
  <si>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</si>
  <si>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</si>
  <si>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</si>
  <si>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</si>
  <si>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</si>
  <si>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</si>
  <si>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</si>
  <si>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</si>
  <si>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</si>
  <si>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</si>
  <si>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</si>
  <si>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</si>
  <si>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</si>
  <si>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</si>
  <si>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</si>
  <si>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</si>
  <si>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</si>
  <si>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</si>
  <si>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</si>
  <si>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</si>
  <si>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</si>
  <si>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</si>
  <si>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</si>
  <si>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</si>
  <si>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</si>
  <si>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</si>
  <si>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</si>
  <si>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</si>
  <si>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</si>
  <si>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</si>
  <si>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</si>
  <si>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</si>
  <si>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</si>
  <si>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</si>
  <si>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</si>
  <si>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</si>
  <si>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</si>
  <si>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</si>
  <si>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</si>
  <si>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</si>
  <si>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</si>
  <si>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</si>
  <si>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</si>
  <si>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</si>
  <si>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</si>
  <si>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</si>
  <si>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</si>
  <si>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</si>
  <si>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</si>
  <si>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</si>
  <si>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</si>
  <si>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</si>
  <si>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</si>
  <si>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</si>
  <si>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</si>
  <si>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</si>
  <si>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</si>
  <si>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</si>
  <si>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</si>
  <si>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</si>
  <si>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</si>
  <si>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</si>
  <si>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</si>
  <si>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</si>
  <si>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</si>
  <si>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</si>
  <si>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</si>
  <si>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</si>
  <si>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</si>
  <si>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</si>
  <si>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</si>
  <si>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</si>
  <si>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</si>
  <si>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</si>
  <si>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</si>
  <si>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</si>
  <si>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</si>
  <si>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</si>
  <si>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</si>
  <si>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</si>
  <si>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</si>
  <si>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</si>
  <si>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</si>
  <si>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</si>
  <si>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</si>
  <si>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</si>
  <si>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</si>
  <si>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</si>
  <si>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</si>
  <si>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</si>
  <si>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</si>
  <si>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</si>
  <si>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</si>
  <si>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</si>
  <si>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</si>
  <si>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</si>
  <si>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</si>
  <si>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</si>
  <si>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</si>
  <si>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</si>
  <si>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</si>
  <si>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</si>
  <si>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</si>
  <si>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</si>
  <si>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</si>
  <si>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</si>
  <si>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</si>
  <si>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</si>
  <si>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</si>
  <si>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</si>
  <si>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</si>
  <si>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</si>
  <si>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</si>
  <si>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</si>
  <si>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</si>
  <si>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</si>
  <si>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</si>
  <si>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</si>
  <si>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</si>
  <si>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</si>
  <si>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</si>
  <si>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</si>
  <si>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</si>
  <si>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</si>
  <si>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</si>
  <si>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</si>
  <si>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</si>
  <si>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</si>
  <si>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</si>
  <si>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</si>
  <si>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</si>
  <si>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</si>
  <si>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</si>
  <si>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</si>
  <si>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</si>
  <si>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</si>
  <si>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</si>
  <si>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</si>
  <si>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</si>
  <si>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</si>
  <si>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</si>
  <si>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</si>
  <si>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</si>
  <si>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</si>
  <si>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</si>
  <si>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</si>
  <si>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</si>
  <si>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</si>
  <si>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</si>
  <si>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</si>
  <si>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</si>
  <si>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</si>
  <si>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</si>
  <si>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</si>
  <si>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</si>
  <si>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</si>
  <si>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</si>
  <si>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</si>
  <si>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</si>
  <si>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</si>
  <si>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</si>
  <si>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</si>
  <si>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</si>
  <si>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</si>
  <si>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</si>
  <si>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</si>
  <si>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</si>
  <si>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</si>
  <si>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</si>
  <si>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</si>
  <si>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</si>
  <si>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</si>
  <si>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</si>
  <si>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</si>
  <si>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</si>
  <si>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</si>
  <si>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</si>
  <si>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</si>
  <si>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</si>
  <si>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</si>
  <si>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</si>
  <si>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</si>
  <si>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</si>
  <si>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</si>
  <si>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</si>
  <si>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</si>
  <si>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</si>
  <si>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</si>
  <si>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</si>
  <si>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</si>
  <si>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</si>
  <si>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</si>
  <si>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</si>
  <si>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</si>
  <si>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</si>
  <si>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</si>
  <si>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</si>
  <si>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</si>
  <si>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</si>
  <si>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</si>
  <si>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</si>
  <si>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</si>
  <si>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</si>
  <si>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</si>
  <si>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</si>
  <si>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</si>
  <si>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</si>
  <si>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</si>
  <si>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</si>
  <si>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</si>
  <si>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</si>
  <si>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</si>
  <si>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</si>
  <si>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</si>
  <si>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</si>
  <si>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</si>
  <si>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</si>
  <si>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</si>
  <si>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</si>
  <si>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</si>
  <si>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</si>
  <si>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</si>
  <si>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</si>
  <si>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</si>
  <si>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</si>
  <si>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</si>
  <si>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</si>
  <si>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</si>
  <si>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</si>
  <si>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</si>
  <si>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</si>
  <si>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</si>
  <si>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</si>
  <si>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</si>
  <si>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</si>
  <si>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</si>
  <si>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</si>
  <si>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</si>
  <si>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</si>
  <si>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</si>
  <si>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</si>
  <si>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</si>
  <si>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</si>
  <si>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</si>
  <si>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</si>
  <si>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</si>
  <si>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</si>
  <si>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</si>
  <si>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</si>
  <si>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</si>
  <si>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</si>
  <si>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</si>
  <si>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</si>
  <si>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</si>
  <si>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</si>
  <si>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</si>
  <si>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</si>
  <si>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</si>
  <si>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</si>
  <si>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</si>
  <si>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</si>
  <si>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</si>
  <si>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</si>
  <si>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</si>
  <si>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</si>
  <si>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</si>
  <si>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</si>
  <si>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</si>
  <si>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</si>
  <si>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</si>
  <si>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</si>
  <si>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</si>
  <si>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</si>
  <si>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</si>
  <si>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</si>
  <si>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</si>
  <si>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</si>
  <si>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</si>
  <si>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</si>
  <si>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</si>
  <si>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</si>
  <si>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</si>
  <si>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</si>
  <si>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</si>
  <si>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</si>
  <si>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</si>
  <si>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</si>
  <si>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</si>
  <si>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</si>
  <si>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</si>
  <si>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</si>
  <si>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</si>
  <si>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</si>
  <si>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</si>
  <si>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</si>
  <si>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</si>
  <si>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</si>
  <si>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</si>
  <si>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</si>
  <si>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</si>
  <si>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</si>
  <si>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</si>
  <si>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</si>
  <si>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</si>
  <si>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</si>
  <si>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</si>
  <si>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</si>
  <si>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</si>
  <si>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</si>
  <si>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</si>
  <si>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</si>
  <si>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</si>
  <si>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</si>
  <si>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</si>
  <si>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</si>
  <si>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</si>
  <si>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</si>
  <si>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</si>
  <si>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</si>
  <si>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</si>
  <si>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</si>
  <si>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</si>
  <si>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</si>
  <si>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</si>
  <si>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</si>
  <si>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</si>
  <si>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</si>
  <si>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</si>
  <si>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</si>
  <si>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</si>
  <si>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</si>
  <si>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</si>
  <si>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</si>
  <si>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</si>
  <si>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</si>
  <si>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</si>
  <si>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</si>
  <si>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</si>
  <si>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</si>
  <si>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</si>
  <si>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</si>
  <si>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</si>
  <si>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</si>
  <si>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</si>
  <si>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</si>
  <si>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</si>
  <si>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</si>
  <si>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</si>
  <si>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</si>
  <si>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</si>
  <si>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</si>
  <si>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</si>
  <si>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</si>
  <si>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</si>
  <si>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</si>
  <si>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</si>
  <si>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</si>
  <si>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</si>
  <si>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</si>
  <si>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</si>
  <si>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</si>
  <si>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</si>
  <si>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</si>
  <si>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</si>
  <si>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</si>
  <si>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</si>
  <si>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</si>
  <si>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</si>
  <si>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</si>
  <si>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</si>
  <si>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</si>
  <si>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</si>
  <si>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</si>
  <si>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</si>
  <si>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</si>
  <si>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</si>
  <si>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</si>
  <si>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</si>
  <si>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</si>
  <si>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</si>
  <si>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</si>
  <si>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</si>
  <si>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</si>
  <si>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</si>
  <si>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</si>
  <si>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</si>
  <si>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</si>
  <si>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</si>
  <si>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</si>
  <si>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</si>
  <si>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</si>
  <si>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</si>
  <si>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</si>
  <si>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</si>
  <si>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</si>
  <si>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</si>
  <si>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</si>
  <si>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</si>
  <si>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</si>
  <si>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</si>
  <si>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</si>
  <si>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</si>
  <si>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</si>
  <si>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</si>
  <si>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</si>
  <si>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</si>
  <si>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</si>
  <si>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</si>
  <si>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</si>
  <si>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</si>
  <si>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</si>
  <si>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</si>
  <si>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</si>
  <si>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</si>
  <si>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</si>
  <si>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</si>
  <si>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</si>
  <si>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</si>
  <si>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</si>
  <si>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</si>
  <si>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</si>
  <si>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</si>
  <si>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</si>
  <si>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</si>
  <si>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</si>
  <si>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</si>
  <si>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</si>
  <si>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</si>
  <si>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</si>
  <si>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</si>
  <si>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</si>
  <si>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</si>
  <si>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</si>
  <si>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</si>
  <si>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</si>
  <si>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</si>
  <si>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</si>
  <si>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</si>
  <si>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</si>
  <si>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</si>
  <si>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</si>
  <si>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</si>
  <si>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</si>
  <si>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</si>
  <si>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</si>
  <si>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</si>
  <si>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</si>
  <si>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</si>
  <si>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</si>
  <si>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</si>
  <si>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</si>
  <si>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</si>
  <si>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</si>
  <si>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</si>
  <si>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</si>
  <si>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</si>
  <si>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</si>
  <si>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</si>
  <si>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</si>
  <si>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</si>
  <si>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</si>
  <si>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</si>
  <si>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</si>
  <si>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</si>
  <si>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</si>
  <si>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</si>
  <si>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</si>
  <si>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</si>
  <si>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</si>
  <si>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</si>
  <si>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</si>
  <si>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</si>
  <si>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</si>
  <si>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</si>
  <si>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</si>
  <si>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</si>
  <si>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</si>
  <si>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</si>
  <si>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</si>
  <si>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</si>
  <si>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</si>
  <si>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</si>
  <si>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</si>
  <si>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</si>
  <si>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</si>
  <si>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</si>
  <si>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</si>
  <si>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</si>
  <si>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</si>
  <si>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</si>
  <si>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</si>
  <si>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</si>
  <si>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</si>
  <si>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</si>
  <si>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</si>
  <si>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</si>
  <si>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</si>
  <si>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</si>
  <si>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</si>
  <si>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</si>
  <si>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</si>
  <si>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</si>
  <si>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</si>
  <si>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</si>
  <si>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</si>
  <si>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</si>
  <si>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</si>
  <si>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</si>
  <si>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</si>
  <si>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</si>
  <si>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</si>
  <si>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</si>
  <si>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</si>
  <si>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</si>
  <si>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</si>
  <si>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</si>
  <si>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</si>
  <si>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</si>
  <si>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</si>
  <si>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</si>
  <si>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</si>
  <si>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</si>
  <si>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</si>
  <si>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</si>
  <si>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</si>
  <si>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</si>
  <si>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</si>
  <si>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</si>
  <si>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</si>
  <si>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</si>
  <si>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</si>
  <si>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</si>
  <si>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</si>
  <si>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</si>
  <si>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</si>
  <si>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</si>
  <si>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</si>
  <si>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</si>
  <si>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</si>
  <si>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</si>
  <si>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</si>
  <si>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</si>
  <si>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</si>
  <si>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</si>
  <si>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</si>
  <si>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</si>
  <si>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</si>
  <si>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</si>
  <si>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</si>
  <si>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</si>
  <si>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</si>
  <si>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</si>
  <si>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</si>
  <si>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</si>
  <si>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</si>
  <si>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</si>
  <si>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</si>
  <si>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</si>
  <si>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</si>
  <si>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</si>
  <si>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</si>
  <si>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</si>
  <si>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</si>
  <si>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</si>
  <si>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</si>
  <si>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</si>
  <si>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</si>
  <si>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</si>
  <si>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</si>
  <si>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</si>
  <si>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</si>
  <si>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</si>
  <si>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</si>
  <si>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</si>
  <si>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</si>
  <si>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</si>
  <si>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</si>
  <si>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</si>
  <si>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</si>
  <si>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</si>
  <si>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</si>
  <si>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</si>
  <si>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</si>
  <si>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</si>
  <si>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</si>
  <si>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</si>
  <si>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</si>
  <si>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</si>
  <si>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</si>
  <si>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</si>
  <si>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</si>
  <si>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</si>
  <si>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</si>
  <si>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</si>
  <si>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</si>
  <si>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</si>
  <si>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</si>
  <si>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</si>
  <si>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</si>
  <si>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</si>
  <si>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</si>
  <si>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</si>
  <si>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</si>
  <si>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</si>
  <si>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</si>
  <si>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</si>
  <si>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</si>
  <si>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</si>
  <si>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</si>
  <si>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</si>
  <si>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</si>
  <si>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</si>
  <si>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</si>
  <si>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</si>
  <si>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</si>
  <si>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</si>
  <si>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</si>
  <si>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</si>
  <si>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</si>
  <si>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</si>
  <si>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</si>
  <si>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</si>
  <si>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</si>
  <si>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</si>
  <si>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</si>
  <si>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</si>
  <si>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</si>
  <si>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</si>
  <si>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</si>
  <si>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</si>
  <si>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</si>
  <si>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</si>
  <si>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</si>
  <si>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</si>
  <si>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</si>
  <si>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</si>
  <si>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</si>
  <si>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</si>
  <si>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</si>
  <si>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</si>
  <si>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</si>
  <si>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</si>
  <si>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</si>
  <si>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</si>
  <si>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</si>
  <si>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</si>
  <si>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</si>
  <si>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</si>
  <si>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</si>
  <si>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</si>
  <si>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</si>
  <si>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</si>
  <si>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</si>
  <si>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</si>
  <si>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</si>
  <si>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</si>
  <si>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</si>
  <si>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</si>
  <si>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</si>
  <si>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</si>
  <si>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</si>
  <si>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</si>
  <si>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</si>
  <si>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</si>
  <si>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</si>
  <si>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</si>
  <si>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</si>
  <si>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</si>
  <si>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</si>
  <si>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</si>
  <si>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</si>
  <si>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</si>
  <si>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</si>
  <si>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</si>
  <si>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</si>
  <si>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</si>
  <si>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</si>
  <si>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</si>
  <si>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</si>
  <si>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</si>
  <si>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</si>
  <si>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</si>
  <si>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</si>
  <si>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</si>
  <si>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</si>
  <si>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</si>
  <si>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</si>
  <si>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</si>
  <si>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</si>
  <si>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</si>
  <si>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</si>
  <si>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</si>
  <si>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</si>
  <si>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</si>
  <si>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</si>
  <si>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</si>
  <si>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</si>
  <si>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</si>
  <si>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</si>
  <si>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</si>
  <si>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</si>
  <si>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</si>
  <si>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</si>
  <si>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</si>
  <si>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</si>
  <si>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</si>
  <si>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</si>
  <si>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</si>
  <si>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</si>
  <si>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</si>
  <si>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</si>
  <si>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</si>
  <si>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</si>
  <si>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</si>
  <si>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</si>
  <si>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</si>
  <si>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</si>
  <si>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</si>
  <si>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</si>
  <si>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</si>
  <si>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</si>
  <si>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</si>
  <si>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</si>
  <si>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</si>
  <si>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</si>
  <si>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</si>
  <si>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</si>
  <si>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</si>
  <si>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</si>
  <si>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</si>
  <si>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</si>
  <si>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</si>
  <si>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</si>
  <si>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</si>
  <si>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</si>
  <si>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</si>
  <si>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</si>
  <si>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</si>
  <si>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</si>
  <si>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</si>
  <si>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</si>
  <si>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</si>
  <si>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</si>
  <si>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</si>
  <si>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</si>
  <si>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</si>
  <si>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</si>
  <si>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</si>
  <si>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</si>
  <si>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</si>
  <si>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</si>
  <si>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</si>
  <si>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</si>
  <si>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</si>
  <si>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</si>
  <si>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</si>
  <si>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</si>
  <si>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</si>
  <si>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</si>
  <si>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</si>
  <si>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</si>
  <si>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</si>
  <si>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</si>
  <si>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</si>
  <si>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</si>
  <si>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</si>
  <si>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</si>
  <si>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</si>
  <si>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</si>
  <si>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</si>
  <si>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</si>
  <si>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</si>
  <si>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</si>
  <si>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</si>
  <si>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</si>
  <si>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</si>
  <si>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</si>
  <si>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</si>
  <si>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</si>
  <si>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</si>
  <si>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</si>
  <si>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</si>
  <si>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</si>
  <si>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</si>
  <si>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</si>
  <si>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</si>
  <si>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</si>
  <si>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</si>
  <si>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</si>
  <si>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</si>
  <si>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</si>
  <si>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</si>
  <si>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</si>
  <si>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</si>
  <si>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</si>
  <si>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</si>
  <si>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</si>
  <si>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</si>
  <si>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</si>
  <si>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</si>
  <si>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</si>
  <si>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</si>
  <si>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</si>
  <si>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</si>
  <si>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</si>
  <si>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</si>
  <si>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</si>
  <si>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</si>
  <si>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</si>
  <si>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</si>
  <si>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</si>
  <si>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</si>
  <si>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</si>
  <si>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</si>
  <si>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</si>
  <si>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</si>
  <si>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</si>
  <si>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</si>
  <si>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</si>
  <si>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</si>
  <si>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</si>
  <si>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</si>
  <si>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</si>
  <si>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</si>
  <si>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</si>
  <si>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</si>
  <si>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</si>
  <si>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</si>
  <si>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</si>
  <si>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</si>
  <si>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</si>
  <si>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</si>
  <si>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</si>
  <si>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</si>
  <si>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</si>
  <si>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</si>
  <si>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</si>
  <si>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</si>
  <si>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</si>
  <si>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</si>
  <si>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</si>
  <si>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</si>
  <si>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</si>
  <si>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</si>
  <si>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</si>
  <si>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</si>
  <si>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</si>
  <si>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</si>
  <si>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</si>
  <si>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</si>
  <si>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</si>
  <si>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</si>
  <si>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</si>
  <si>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</si>
  <si>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</si>
  <si>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</si>
  <si>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</si>
  <si>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</si>
  <si>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</si>
  <si>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</si>
  <si>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</si>
  <si>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</si>
  <si>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</si>
  <si>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</si>
  <si>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</si>
  <si>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</si>
  <si>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</si>
  <si>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</si>
  <si>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</si>
  <si>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</si>
  <si>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</si>
  <si>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</si>
  <si>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</si>
  <si>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</si>
  <si>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</si>
  <si>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</si>
  <si>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</si>
  <si>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</si>
  <si>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</si>
  <si>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</si>
  <si>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</si>
  <si>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</si>
  <si>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</si>
  <si>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</si>
  <si>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</si>
  <si>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</si>
  <si>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</si>
  <si>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</si>
  <si>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</si>
  <si>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</si>
  <si>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</si>
  <si>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</si>
  <si>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</si>
  <si>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</si>
  <si>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</si>
  <si>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</si>
  <si>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</si>
  <si>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</si>
  <si>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</si>
  <si>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</si>
  <si>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</si>
  <si>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</si>
  <si>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</si>
  <si>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</si>
  <si>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</si>
  <si>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</si>
  <si>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</si>
  <si>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</si>
  <si>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</si>
  <si>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</si>
  <si>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</si>
  <si>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</si>
  <si>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</si>
  <si>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</si>
  <si>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</si>
  <si>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</si>
  <si>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</si>
  <si>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</si>
  <si>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</si>
  <si>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</si>
  <si>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</si>
  <si>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</si>
  <si>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</si>
  <si>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</si>
  <si>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</si>
  <si>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</si>
  <si>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</si>
  <si>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</si>
  <si>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</si>
  <si>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</si>
  <si>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</si>
  <si>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</si>
  <si>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</si>
  <si>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</si>
  <si>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</si>
  <si>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</si>
  <si>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</si>
  <si>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</si>
  <si>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</si>
  <si>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</si>
  <si>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</si>
  <si>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</si>
  <si>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</si>
  <si>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</si>
  <si>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</si>
  <si>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</si>
  <si>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</si>
  <si>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</si>
  <si>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</si>
  <si>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</si>
  <si>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</si>
  <si>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</si>
  <si>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</si>
  <si>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</si>
  <si>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</si>
  <si>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</si>
  <si>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</si>
  <si>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</si>
  <si>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</si>
  <si>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</si>
  <si>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</si>
  <si>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</si>
  <si>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</si>
  <si>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</si>
  <si>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</si>
  <si>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</si>
  <si>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</si>
  <si>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</si>
  <si>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</si>
  <si>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</si>
  <si>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</si>
  <si>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</si>
  <si>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</si>
  <si>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</si>
  <si>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</si>
  <si>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</si>
  <si>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</si>
  <si>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</si>
  <si>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</si>
  <si>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</si>
  <si>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</si>
  <si>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</si>
  <si>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</si>
  <si>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</si>
  <si>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</si>
  <si>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</si>
  <si>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</si>
  <si>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</si>
  <si>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</si>
  <si>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</si>
  <si>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</si>
  <si>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</si>
  <si>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</si>
  <si>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</si>
  <si>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</si>
  <si>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</si>
  <si>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</si>
  <si>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</si>
  <si>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</si>
  <si>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</si>
  <si>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</si>
  <si>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</si>
  <si>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</si>
  <si>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</si>
  <si>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</si>
  <si>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</si>
  <si>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</si>
  <si>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</si>
  <si>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</si>
  <si>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</si>
  <si>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</si>
  <si>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</si>
  <si>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</si>
  <si>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</si>
  <si>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</si>
  <si>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</si>
  <si>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</si>
  <si>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</si>
  <si>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</si>
  <si>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</si>
  <si>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</si>
  <si>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</si>
  <si>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</si>
  <si>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</si>
  <si>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</si>
  <si>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</si>
  <si>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</si>
  <si>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</si>
  <si>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</si>
  <si>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</si>
  <si>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</si>
  <si>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</si>
  <si>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</si>
  <si>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</si>
  <si>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</si>
  <si>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</si>
  <si>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</si>
  <si>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</si>
  <si>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</si>
  <si>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</si>
  <si>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</si>
  <si>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</si>
  <si>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</si>
  <si>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</si>
  <si>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</si>
  <si>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</si>
  <si>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</si>
  <si>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</si>
  <si>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</si>
  <si>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</si>
  <si>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</si>
  <si>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</si>
  <si>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</si>
  <si>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</si>
  <si>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</si>
  <si>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</si>
  <si>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</si>
  <si>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</si>
  <si>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</si>
  <si>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</si>
  <si>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</si>
  <si>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</si>
  <si>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</si>
  <si>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</si>
  <si>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</si>
  <si>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</si>
  <si>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</si>
  <si>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</si>
  <si>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</si>
  <si>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</si>
  <si>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</si>
  <si>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</si>
  <si>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</si>
  <si>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</si>
  <si>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</si>
  <si>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</si>
  <si>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</si>
  <si>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</si>
  <si>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</si>
  <si>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</si>
  <si>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</si>
  <si>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</si>
  <si>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</si>
  <si>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</si>
  <si>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</si>
  <si>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</si>
  <si>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</si>
  <si>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</si>
  <si>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</si>
  <si>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</si>
  <si>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</si>
  <si>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</si>
  <si>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</si>
  <si>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</si>
  <si>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</si>
  <si>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</si>
  <si>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</si>
  <si>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</si>
  <si>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</si>
  <si>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</si>
  <si>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</si>
  <si>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</si>
  <si>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</si>
  <si>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</si>
  <si>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</si>
  <si>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</si>
  <si>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</si>
  <si>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</si>
  <si>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</si>
  <si>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</si>
  <si>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</si>
  <si>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</si>
  <si>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</si>
  <si>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</si>
  <si>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</si>
  <si>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</si>
  <si>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</si>
  <si>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</si>
  <si>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</si>
  <si>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</si>
  <si>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</si>
  <si>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</si>
  <si>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</si>
  <si>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</si>
  <si>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</si>
  <si>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</si>
  <si>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</si>
  <si>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</si>
  <si>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</si>
  <si>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</si>
  <si>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</si>
  <si>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</si>
  <si>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</si>
  <si>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</si>
  <si>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</si>
  <si>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</si>
  <si>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</si>
  <si>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</si>
  <si>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</si>
  <si>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</si>
  <si>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</si>
  <si>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</si>
  <si>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</si>
  <si>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</si>
  <si>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</si>
  <si>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</si>
  <si>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</si>
  <si>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</si>
  <si>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</si>
  <si>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</si>
  <si>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</si>
  <si>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</si>
  <si>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</si>
  <si>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</si>
  <si>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</si>
  <si>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</si>
  <si>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</si>
  <si>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</si>
  <si>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</si>
  <si>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</si>
  <si>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</si>
  <si>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</si>
  <si>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</si>
  <si>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</si>
  <si>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</si>
  <si>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</si>
  <si>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</si>
  <si>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</si>
  <si>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</si>
  <si>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</si>
  <si>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</si>
  <si>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</si>
  <si>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</si>
  <si>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</si>
  <si>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</si>
  <si>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</si>
  <si>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</si>
  <si>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</si>
  <si>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</si>
  <si>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</si>
  <si>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</si>
  <si>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</si>
  <si>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</si>
  <si>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</si>
  <si>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</si>
  <si>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</si>
  <si>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</si>
  <si>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</si>
  <si>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</si>
  <si>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</si>
  <si>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</si>
  <si>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</si>
  <si>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</si>
  <si>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</si>
  <si>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</si>
  <si>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</si>
  <si>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</si>
  <si>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</si>
  <si>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</si>
  <si>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</si>
  <si>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</si>
  <si>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</si>
  <si>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</si>
  <si>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</si>
  <si>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</si>
  <si>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</si>
  <si>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</si>
  <si>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</si>
  <si>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</si>
  <si>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</si>
  <si>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</si>
  <si>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</si>
  <si>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</si>
  <si>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</si>
  <si>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</si>
  <si>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</si>
  <si>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</si>
  <si>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</si>
  <si>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</si>
  <si>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</si>
  <si>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</si>
  <si>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</si>
  <si>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</si>
  <si>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</si>
  <si>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</si>
  <si>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</si>
  <si>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</si>
  <si>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</si>
  <si>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</si>
  <si>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</si>
  <si>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</si>
  <si>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</si>
  <si>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</si>
  <si>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</si>
  <si>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</si>
  <si>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</si>
  <si>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</si>
  <si>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</si>
  <si>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</si>
  <si>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</si>
  <si>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</si>
  <si>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</si>
  <si>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</si>
  <si>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</si>
  <si>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</si>
  <si>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</si>
  <si>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</si>
  <si>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</si>
  <si>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</si>
  <si>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</si>
  <si>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</si>
  <si>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</si>
  <si>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</si>
  <si>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</si>
  <si>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</si>
  <si>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</si>
  <si>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</si>
  <si>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</si>
  <si>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</si>
  <si>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</si>
  <si>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</si>
  <si>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</si>
  <si>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</si>
  <si>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</si>
  <si>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</si>
  <si>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</si>
  <si>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</si>
  <si>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</si>
  <si>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</si>
  <si>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</si>
  <si>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</si>
  <si>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</si>
  <si>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</si>
  <si>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</si>
  <si>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</si>
  <si>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</si>
  <si>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</si>
  <si>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</si>
  <si>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</si>
  <si>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</si>
  <si>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</si>
  <si>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</si>
  <si>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</si>
  <si>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</si>
  <si>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</si>
  <si>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</si>
  <si>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</si>
  <si>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</si>
  <si>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</si>
  <si>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</si>
  <si>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</si>
  <si>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</si>
  <si>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</si>
  <si>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</si>
  <si>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</si>
  <si>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</si>
  <si>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</si>
  <si>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</si>
  <si>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</si>
  <si>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</si>
  <si>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</si>
  <si>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</si>
  <si>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</si>
  <si>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</si>
  <si>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</si>
  <si>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</si>
  <si>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</si>
  <si>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</si>
  <si>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</si>
  <si>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</si>
  <si>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</si>
  <si>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</si>
  <si>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</si>
  <si>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</si>
  <si>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</si>
  <si>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</si>
  <si>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</si>
  <si>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</si>
  <si>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</si>
  <si>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</si>
  <si>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</si>
  <si>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</si>
  <si>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</si>
  <si>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</si>
  <si>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</si>
  <si>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</si>
  <si>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</si>
  <si>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</si>
  <si>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</si>
  <si>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</si>
  <si>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</si>
  <si>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</si>
  <si>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</si>
  <si>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</si>
  <si>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</si>
  <si>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</si>
  <si>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</si>
  <si>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</si>
  <si>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</si>
  <si>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</si>
  <si>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</si>
  <si>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</si>
  <si>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</si>
  <si>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</si>
  <si>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</si>
  <si>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</si>
  <si>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</si>
  <si>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</si>
  <si>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</si>
  <si>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</si>
  <si>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</si>
  <si>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</si>
  <si>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</si>
  <si>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</si>
  <si>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</si>
  <si>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</si>
  <si>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</si>
  <si>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</si>
  <si>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</si>
  <si>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</si>
  <si>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</si>
  <si>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</si>
  <si>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</si>
  <si>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</si>
  <si>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</si>
  <si>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</si>
  <si>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</si>
  <si>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</si>
  <si>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</si>
  <si>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</si>
  <si>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</si>
  <si>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</si>
  <si>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</si>
  <si>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</si>
  <si>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</si>
  <si>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</si>
  <si>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</si>
  <si>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</si>
  <si>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</si>
  <si>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</si>
  <si>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</si>
  <si>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</si>
  <si>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</si>
  <si>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</si>
  <si>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</si>
  <si>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</si>
  <si>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</si>
  <si>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</si>
  <si>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</si>
  <si>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</si>
  <si>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</si>
  <si>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</si>
  <si>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</si>
  <si>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</si>
  <si>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</si>
  <si>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</si>
  <si>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</si>
  <si>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</si>
  <si>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</si>
  <si>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</si>
  <si>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</si>
  <si>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</si>
  <si>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</si>
  <si>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</si>
  <si>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</si>
  <si>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</si>
  <si>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</si>
  <si>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</si>
  <si>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</si>
  <si>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</si>
  <si>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</si>
  <si>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</si>
  <si>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</si>
  <si>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</si>
  <si>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</si>
  <si>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</si>
  <si>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</si>
  <si>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</si>
  <si>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</si>
  <si>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</si>
  <si>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</si>
  <si>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</si>
  <si>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</si>
  <si>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</si>
  <si>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</si>
  <si>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</si>
  <si>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</si>
  <si>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</si>
  <si>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</si>
  <si>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</si>
  <si>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</si>
  <si>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</si>
  <si>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</si>
  <si>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</si>
  <si>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</si>
  <si>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</si>
  <si>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</si>
  <si>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</si>
  <si>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</si>
  <si>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</si>
  <si>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</si>
  <si>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</si>
  <si>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</si>
  <si>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</si>
  <si>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</si>
  <si>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</si>
  <si>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</si>
  <si>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</si>
  <si>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</si>
  <si>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</si>
  <si>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</si>
  <si>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</si>
  <si>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</si>
  <si>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</si>
  <si>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</si>
  <si>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</si>
  <si>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</si>
  <si>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</si>
  <si>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</si>
  <si>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</si>
  <si>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</si>
  <si>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</si>
  <si>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</si>
  <si>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</si>
  <si>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</si>
  <si>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</si>
  <si>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</si>
  <si>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</si>
  <si>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</si>
  <si>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</si>
  <si>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</si>
  <si>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</si>
  <si>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</si>
  <si>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</si>
  <si>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</si>
  <si>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</si>
  <si>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</si>
  <si>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</si>
  <si>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</si>
  <si>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</si>
  <si>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</si>
  <si>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</si>
  <si>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</si>
  <si>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</si>
  <si>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</si>
  <si>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</si>
  <si>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</si>
  <si>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</si>
  <si>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</si>
  <si>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</si>
  <si>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</si>
  <si>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</si>
  <si>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</si>
  <si>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</si>
  <si>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</si>
  <si>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</si>
  <si>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</si>
  <si>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</si>
  <si>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</si>
  <si>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</si>
  <si>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</si>
  <si>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</si>
  <si>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</si>
  <si>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</si>
  <si>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</si>
  <si>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</si>
  <si>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</si>
  <si>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</si>
  <si>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</si>
  <si>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</si>
  <si>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</si>
  <si>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</si>
  <si>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</si>
  <si>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</si>
  <si>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</si>
  <si>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</si>
  <si>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</si>
  <si>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</si>
  <si>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</si>
  <si>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</si>
  <si>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</si>
  <si>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</si>
  <si>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</si>
  <si>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</si>
  <si>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</si>
  <si>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</si>
  <si>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</si>
  <si>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</si>
  <si>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</si>
  <si>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</si>
  <si>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</si>
  <si>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</si>
  <si>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</si>
  <si>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</si>
  <si>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</si>
  <si>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</si>
  <si>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</si>
  <si>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</si>
  <si>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</si>
  <si>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</si>
  <si>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</si>
  <si>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</si>
  <si>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</si>
  <si>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</si>
  <si>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</si>
  <si>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</si>
  <si>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</si>
  <si>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</si>
  <si>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</si>
  <si>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</si>
  <si>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</si>
  <si>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</si>
  <si>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</si>
  <si>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</si>
  <si>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</si>
  <si>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</si>
  <si>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</si>
  <si>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</si>
  <si>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</si>
  <si>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</si>
  <si>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</si>
  <si>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</si>
  <si>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</si>
  <si>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</si>
  <si>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</si>
  <si>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</si>
  <si>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</si>
  <si>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</si>
  <si>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</si>
  <si>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</si>
  <si>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</si>
  <si>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</si>
  <si>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</si>
  <si>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</si>
  <si>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</si>
  <si>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</si>
  <si>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</si>
  <si>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</si>
  <si>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</si>
  <si>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</si>
  <si>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</si>
  <si>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</si>
  <si>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</si>
  <si>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</si>
  <si>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</si>
  <si>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</si>
  <si>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</si>
  <si>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</si>
  <si>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</si>
  <si>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</si>
  <si>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</si>
  <si>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</si>
  <si>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</si>
  <si>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</si>
  <si>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</si>
  <si>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</si>
  <si>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</si>
  <si>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</si>
  <si>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</si>
  <si>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</si>
  <si>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</si>
  <si>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</si>
  <si>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</si>
  <si>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</si>
  <si>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</si>
  <si>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</si>
  <si>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</si>
  <si>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</si>
  <si>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</si>
  <si>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</si>
  <si>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</si>
  <si>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</si>
  <si>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</si>
  <si>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</si>
  <si>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</si>
  <si>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</si>
  <si>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</si>
  <si>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</si>
  <si>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</si>
  <si>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</si>
  <si>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</si>
  <si>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</si>
  <si>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</si>
  <si>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</si>
  <si>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</si>
  <si>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</si>
  <si>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</si>
  <si>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</si>
  <si>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</si>
  <si>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</si>
  <si>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</si>
  <si>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</si>
  <si>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</si>
  <si>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</si>
  <si>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</si>
  <si>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</si>
  <si>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</si>
  <si>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</si>
  <si>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</si>
  <si>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</si>
  <si>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</si>
  <si>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</si>
  <si>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</si>
  <si>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</si>
  <si>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</si>
  <si>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</si>
  <si>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</si>
  <si>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</si>
  <si>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</si>
  <si>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</si>
  <si>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</si>
  <si>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</si>
  <si>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</si>
  <si>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</si>
  <si>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</si>
  <si>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</si>
  <si>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</si>
  <si>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</si>
  <si>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</si>
  <si>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</si>
  <si>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</si>
  <si>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</si>
  <si>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</si>
  <si>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</si>
  <si>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</si>
  <si>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</si>
  <si>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</si>
  <si>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</si>
  <si>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</si>
  <si>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</si>
  <si>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</si>
  <si>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</si>
  <si>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</si>
  <si>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</si>
  <si>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</si>
  <si>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</si>
  <si>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</si>
  <si>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</si>
  <si>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</si>
  <si>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</si>
  <si>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</si>
  <si>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</si>
  <si>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</si>
  <si>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</si>
  <si>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</si>
  <si>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</si>
  <si>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</si>
  <si>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</si>
  <si>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</si>
  <si>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</si>
  <si>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</si>
  <si>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</si>
  <si>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</si>
  <si>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</si>
  <si>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</si>
  <si>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</si>
  <si>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</si>
  <si>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</si>
  <si>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</si>
  <si>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</si>
  <si>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</si>
  <si>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</si>
  <si>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</si>
  <si>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</si>
  <si>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</si>
  <si>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</si>
  <si>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</si>
  <si>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</si>
  <si>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</si>
  <si>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</si>
  <si>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</si>
  <si>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</si>
  <si>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</si>
  <si>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</si>
  <si>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</si>
  <si>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</si>
  <si>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</si>
  <si>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</si>
  <si>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</si>
  <si>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</si>
  <si>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</si>
  <si>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</si>
  <si>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</si>
  <si>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</si>
  <si>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</si>
  <si>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</si>
  <si>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</si>
  <si>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</si>
  <si>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</si>
  <si>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</si>
  <si>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</si>
  <si>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</si>
  <si>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</si>
  <si>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</si>
  <si>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</si>
  <si>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</si>
  <si>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</si>
  <si>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</si>
  <si>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</si>
  <si>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</si>
  <si>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</si>
  <si>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</si>
  <si>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</si>
  <si>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</si>
  <si>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</si>
  <si>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</si>
  <si>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</si>
  <si>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</si>
  <si>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</si>
  <si>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</si>
  <si>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</si>
  <si>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</si>
  <si>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</si>
  <si>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</si>
  <si>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</si>
  <si>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</si>
  <si>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</si>
  <si>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</si>
  <si>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</si>
  <si>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</si>
  <si>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</si>
  <si>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</si>
  <si>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</si>
  <si>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</si>
  <si>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</si>
  <si>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</si>
  <si>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</si>
  <si>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</si>
  <si>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</si>
  <si>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</si>
  <si>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</si>
  <si>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</si>
  <si>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</si>
  <si>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</si>
  <si>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</si>
  <si>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</si>
  <si>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</si>
  <si>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</si>
  <si>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</si>
  <si>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</si>
  <si>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</si>
  <si>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</si>
  <si>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</si>
  <si>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</si>
  <si>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</si>
  <si>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</si>
  <si>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</si>
  <si>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</si>
  <si>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</si>
  <si>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</si>
  <si>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</si>
  <si>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</si>
  <si>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</si>
  <si>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</si>
  <si>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</si>
  <si>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</si>
  <si>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</si>
  <si>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</si>
  <si>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</si>
  <si>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</si>
  <si>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</si>
  <si>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</si>
  <si>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</si>
  <si>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</si>
  <si>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</si>
  <si>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</si>
  <si>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</si>
  <si>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</si>
  <si>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</si>
  <si>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</si>
  <si>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</si>
  <si>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</si>
  <si>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</si>
  <si>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</si>
  <si>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</si>
  <si>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</si>
  <si>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</si>
  <si>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</si>
  <si>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</si>
  <si>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</si>
  <si>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</si>
  <si>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</si>
  <si>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</si>
  <si>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</si>
  <si>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</si>
  <si>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</si>
  <si>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</si>
  <si>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</si>
  <si>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</si>
  <si>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</si>
  <si>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</si>
  <si>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</si>
  <si>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</si>
  <si>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</si>
  <si>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</si>
  <si>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</si>
  <si>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</si>
  <si>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</si>
  <si>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</si>
  <si>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</si>
  <si>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</si>
  <si>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</si>
  <si>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</si>
  <si>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</si>
  <si>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</si>
  <si>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</si>
  <si>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</si>
  <si>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</si>
  <si>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</si>
  <si>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</si>
  <si>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</si>
  <si>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</si>
  <si>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</si>
  <si>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</si>
  <si>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</si>
  <si>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</si>
  <si>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</si>
  <si>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</si>
  <si>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</si>
  <si>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</si>
  <si>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</si>
  <si>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</si>
  <si>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</si>
  <si>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</si>
  <si>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</si>
  <si>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</si>
  <si>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</si>
  <si>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</si>
  <si>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</si>
  <si>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</si>
  <si>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</si>
  <si>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</si>
  <si>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</si>
  <si>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</si>
  <si>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</si>
  <si>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</si>
  <si>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</si>
  <si>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</si>
  <si>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</si>
  <si>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</si>
  <si>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</si>
  <si>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</si>
  <si>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</si>
  <si>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</si>
  <si>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</si>
  <si>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</si>
  <si>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</si>
  <si>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</si>
  <si>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</si>
  <si>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</si>
  <si>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</si>
  <si>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</si>
  <si>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</si>
  <si>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</si>
  <si>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</si>
  <si>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</si>
  <si>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</si>
  <si>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</si>
  <si>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</si>
  <si>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</si>
  <si>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</si>
  <si>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</si>
  <si>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</si>
  <si>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</si>
  <si>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</si>
  <si>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</si>
  <si>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</si>
  <si>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</si>
  <si>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</si>
  <si>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</si>
  <si>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</si>
  <si>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</si>
  <si>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</si>
  <si>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</si>
  <si>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</si>
  <si>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</si>
  <si>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</si>
  <si>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</si>
  <si>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</si>
  <si>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</si>
  <si>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</si>
  <si>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</si>
  <si>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</si>
  <si>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</si>
  <si>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</si>
  <si>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</si>
  <si>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</si>
  <si>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</si>
  <si>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</si>
  <si>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</si>
  <si>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</si>
  <si>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</si>
  <si>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</si>
  <si>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</si>
  <si>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</si>
  <si>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</si>
  <si>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</si>
  <si>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</si>
  <si>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</si>
  <si>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</si>
  <si>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</si>
  <si>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</si>
  <si>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</si>
  <si>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</si>
  <si>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</si>
  <si>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</si>
  <si>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</si>
  <si>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</si>
  <si>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</si>
  <si>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</si>
  <si>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</si>
  <si>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</si>
  <si>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</si>
  <si>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</si>
  <si>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</si>
  <si>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</si>
  <si>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</si>
  <si>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</si>
  <si>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</si>
  <si>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</si>
  <si>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</si>
  <si>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</si>
  <si>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</si>
  <si>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</si>
  <si>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</si>
  <si>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</si>
  <si>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</si>
  <si>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</si>
  <si>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</si>
  <si>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</si>
  <si>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</si>
  <si>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</si>
  <si>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</si>
  <si>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</si>
  <si>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</si>
  <si>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</si>
  <si>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</si>
  <si>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</si>
  <si>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</si>
  <si>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</si>
  <si>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</si>
  <si>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</si>
  <si>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</si>
  <si>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</si>
  <si>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</si>
  <si>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</si>
  <si>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</si>
  <si>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</si>
  <si>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</si>
  <si>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</si>
  <si>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</si>
  <si>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</si>
  <si>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</si>
  <si>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</si>
  <si>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</si>
  <si>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</si>
  <si>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</si>
  <si>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</si>
  <si>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</si>
  <si>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</si>
  <si>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</si>
  <si>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</si>
  <si>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</si>
  <si>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</si>
  <si>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</si>
  <si>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</si>
  <si>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</si>
  <si>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</si>
  <si>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</si>
  <si>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</si>
  <si>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</si>
  <si>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</si>
  <si>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</si>
  <si>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</si>
  <si>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</si>
  <si>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</si>
  <si>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</si>
  <si>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</si>
  <si>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</si>
  <si>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</si>
  <si>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</si>
  <si>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</si>
  <si>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</si>
  <si>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</si>
  <si>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</si>
  <si>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</si>
  <si>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</si>
  <si>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</si>
  <si>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</si>
  <si>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</si>
  <si>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</si>
  <si>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</si>
  <si>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</si>
  <si>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</si>
  <si>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</si>
  <si>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</si>
  <si>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</si>
  <si>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</si>
  <si>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</si>
  <si>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</si>
  <si>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</si>
  <si>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</si>
  <si>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</si>
  <si>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</si>
  <si>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</si>
  <si>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</si>
  <si>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</si>
  <si>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</si>
  <si>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</si>
  <si>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</si>
  <si>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</si>
  <si>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</si>
  <si>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</si>
  <si>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</si>
  <si>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</si>
  <si>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</si>
  <si>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</si>
  <si>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</si>
  <si>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</si>
  <si>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</si>
  <si>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</si>
  <si>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</si>
  <si>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</si>
  <si>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</si>
  <si>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</si>
  <si>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</si>
  <si>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</si>
  <si>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</si>
  <si>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</si>
  <si>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</si>
  <si>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</si>
  <si>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</si>
  <si>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</si>
  <si>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</si>
  <si>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</si>
  <si>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</si>
  <si>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</si>
  <si>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</si>
  <si>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</si>
  <si>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</si>
  <si>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</si>
  <si>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</si>
  <si>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</si>
  <si>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</si>
  <si>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</si>
  <si>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</si>
  <si>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</si>
  <si>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</si>
  <si>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</si>
  <si>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</si>
  <si>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</si>
  <si>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</si>
  <si>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</si>
  <si>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</si>
  <si>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</si>
  <si>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</si>
  <si>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</si>
  <si>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</si>
  <si>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</si>
  <si>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</si>
  <si>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</si>
  <si>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</si>
  <si>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</si>
  <si>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</si>
  <si>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</si>
  <si>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</si>
  <si>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</si>
  <si>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</si>
  <si>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</si>
  <si>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</si>
  <si>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</si>
  <si>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</si>
  <si>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</si>
  <si>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</si>
  <si>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</si>
  <si>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</si>
  <si>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</si>
  <si>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</si>
  <si>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</si>
  <si>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</si>
  <si>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</si>
  <si>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</si>
  <si>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</si>
  <si>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</si>
  <si>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</si>
  <si>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</si>
  <si>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</si>
  <si>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</si>
  <si>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</si>
  <si>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</si>
  <si>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</si>
  <si>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</si>
  <si>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</si>
  <si>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</si>
  <si>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</si>
  <si>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</si>
  <si>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</si>
  <si>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</si>
  <si>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</si>
  <si>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</si>
  <si>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</si>
  <si>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</si>
  <si>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</si>
  <si>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</si>
  <si>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</si>
  <si>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</si>
  <si>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</si>
  <si>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</si>
  <si>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</si>
  <si>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</si>
  <si>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</si>
  <si>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</si>
  <si>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</si>
  <si>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</si>
  <si>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</si>
  <si>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</si>
  <si>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</si>
  <si>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</si>
  <si>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</si>
  <si>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</si>
  <si>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</si>
  <si>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</si>
  <si>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</si>
  <si>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</si>
  <si>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</si>
  <si>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</si>
  <si>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</si>
  <si>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</si>
  <si>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</si>
  <si>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</si>
  <si>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</si>
  <si>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</si>
  <si>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</si>
  <si>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</si>
  <si>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</si>
  <si>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</si>
  <si>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</si>
  <si>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</si>
  <si>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</si>
  <si>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</si>
  <si>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</si>
  <si>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</si>
  <si>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</si>
  <si>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</si>
  <si>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</si>
  <si>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</si>
  <si>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</si>
  <si>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</si>
  <si>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</si>
  <si>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</si>
  <si>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</si>
  <si>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</si>
  <si>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</si>
  <si>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</si>
  <si>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</si>
  <si>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</si>
  <si>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</si>
  <si>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</si>
  <si>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</si>
  <si>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</si>
  <si>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</si>
  <si>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</si>
  <si>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</si>
  <si>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</si>
  <si>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</si>
  <si>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</si>
  <si>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</si>
  <si>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</si>
  <si>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</si>
  <si>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</si>
  <si>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</si>
  <si>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</si>
  <si>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</si>
  <si>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</si>
  <si>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</si>
  <si>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</si>
  <si>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</si>
  <si>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</si>
  <si>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</si>
  <si>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</si>
  <si>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</si>
  <si>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</si>
  <si>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</si>
  <si>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</si>
  <si>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</si>
  <si>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</si>
  <si>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</si>
  <si>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</si>
  <si>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</si>
  <si>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</si>
  <si>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</si>
  <si>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</si>
  <si>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</si>
  <si>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</si>
  <si>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</si>
  <si>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</si>
  <si>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</si>
  <si>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</si>
  <si>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</si>
  <si>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</si>
  <si>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</si>
  <si>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</si>
  <si>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</si>
  <si>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</si>
  <si>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</si>
  <si>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</si>
  <si>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</si>
  <si>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</si>
  <si>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</si>
  <si>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</si>
  <si>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</si>
  <si>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</si>
  <si>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</si>
  <si>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</si>
  <si>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</si>
  <si>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</si>
  <si>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</si>
  <si>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</si>
  <si>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</si>
  <si>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</si>
  <si>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</si>
  <si>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</si>
  <si>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</si>
  <si>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</si>
  <si>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</si>
  <si>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</si>
  <si>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</si>
  <si>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</si>
  <si>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</si>
  <si>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</si>
  <si>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</si>
  <si>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</si>
  <si>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</si>
  <si>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</si>
  <si>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</si>
  <si>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</si>
  <si>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</si>
  <si>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</si>
  <si>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</si>
  <si>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</si>
  <si>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</si>
  <si>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</si>
  <si>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</si>
  <si>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</si>
  <si>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</si>
  <si>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</si>
  <si>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</si>
  <si>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</si>
  <si>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</si>
  <si>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</si>
  <si>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</si>
  <si>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</si>
  <si>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</si>
  <si>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</si>
  <si>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</si>
  <si>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</si>
  <si>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</si>
  <si>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</si>
  <si>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</si>
  <si>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</si>
  <si>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</si>
  <si>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</si>
  <si>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</si>
  <si>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</si>
  <si>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</si>
  <si>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</si>
  <si>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</si>
  <si>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</si>
  <si>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</si>
  <si>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</si>
  <si>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</si>
  <si>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</si>
  <si>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</si>
  <si>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</si>
  <si>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</si>
  <si>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</si>
  <si>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</si>
  <si>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</si>
  <si>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</si>
  <si>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</si>
  <si>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</si>
  <si>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</si>
  <si>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</si>
  <si>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</si>
  <si>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</si>
  <si>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</si>
  <si>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</si>
  <si>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</si>
  <si>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</si>
  <si>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</si>
  <si>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</si>
  <si>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</si>
  <si>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</si>
  <si>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</si>
  <si>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</si>
  <si>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</si>
  <si>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</si>
  <si>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</si>
  <si>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</si>
  <si>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</si>
  <si>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</si>
  <si>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</si>
  <si>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</si>
  <si>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</si>
  <si>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</si>
  <si>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</si>
  <si>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</si>
  <si>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</si>
  <si>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</si>
  <si>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</si>
  <si>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</si>
  <si>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</si>
  <si>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</si>
  <si>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</si>
  <si>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</si>
  <si>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</si>
  <si>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</si>
  <si>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</si>
  <si>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</si>
  <si>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</si>
  <si>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</si>
  <si>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</si>
  <si>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</si>
  <si>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</si>
  <si>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</si>
  <si>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</si>
  <si>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</si>
  <si>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</si>
  <si>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</si>
  <si>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</si>
  <si>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</si>
  <si>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</si>
  <si>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</si>
  <si>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</si>
  <si>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</si>
  <si>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</si>
  <si>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</si>
  <si>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</si>
  <si>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</si>
  <si>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</si>
  <si>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</si>
  <si>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</si>
  <si>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</si>
  <si>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</si>
  <si>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</si>
  <si>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</si>
  <si>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</si>
  <si>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</si>
  <si>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</si>
  <si>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</si>
  <si>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</si>
  <si>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</si>
  <si>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</si>
  <si>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</si>
  <si>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</si>
  <si>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</si>
  <si>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</si>
  <si>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</si>
  <si>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</si>
  <si>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</si>
  <si>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</si>
  <si>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</si>
  <si>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</si>
  <si>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</si>
  <si>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</si>
  <si>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</si>
  <si>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</si>
  <si>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</si>
  <si>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</si>
  <si>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</si>
  <si>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</si>
  <si>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</si>
  <si>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</si>
  <si>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</si>
  <si>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</si>
  <si>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</si>
  <si>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</si>
  <si>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</si>
  <si>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</si>
  <si>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</si>
  <si>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</si>
  <si>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</si>
  <si>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</si>
  <si>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</si>
  <si>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</si>
  <si>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</si>
  <si>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</si>
  <si>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</si>
  <si>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</si>
  <si>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</si>
  <si>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</si>
  <si>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</si>
  <si>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</si>
  <si>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</si>
  <si>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</si>
  <si>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</si>
  <si>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</si>
  <si>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</si>
  <si>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</si>
  <si>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</si>
  <si>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</si>
  <si>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</si>
  <si>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</si>
  <si>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</si>
  <si>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</si>
  <si>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</si>
  <si>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</si>
  <si>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</si>
  <si>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</si>
  <si>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</si>
  <si>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</si>
  <si>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</si>
  <si>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</si>
  <si>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</si>
  <si>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</si>
  <si>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</si>
  <si>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</si>
  <si>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</si>
  <si>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</si>
  <si>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</si>
  <si>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</si>
  <si>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</si>
  <si>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</si>
  <si>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</si>
  <si>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</si>
  <si>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</si>
  <si>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</si>
  <si>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</si>
  <si>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</si>
  <si>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</si>
  <si>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</si>
  <si>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</si>
  <si>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</si>
  <si>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</si>
  <si>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</si>
  <si>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</si>
  <si>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</si>
  <si>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</si>
  <si>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</si>
  <si>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</si>
  <si>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</si>
  <si>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</si>
  <si>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</si>
  <si>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</si>
  <si>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</si>
  <si>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</si>
  <si>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</si>
  <si>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</si>
  <si>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</si>
  <si>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</si>
  <si>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</si>
  <si>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</si>
  <si>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</si>
  <si>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</si>
  <si>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</si>
  <si>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</si>
  <si>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</si>
  <si>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</si>
  <si>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</si>
  <si>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</si>
  <si>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</si>
  <si>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</si>
  <si>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</si>
  <si>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</si>
  <si>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</si>
  <si>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</si>
  <si>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</si>
  <si>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</si>
  <si>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</si>
  <si>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</si>
  <si>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</si>
  <si>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</si>
  <si>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</si>
  <si>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</si>
  <si>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</si>
  <si>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</si>
  <si>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</si>
  <si>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</si>
  <si>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</si>
  <si>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</si>
  <si>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</si>
  <si>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</si>
  <si>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</si>
  <si>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</si>
  <si>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</si>
  <si>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</si>
  <si>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</si>
  <si>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</si>
  <si>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</si>
  <si>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</si>
  <si>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</si>
  <si>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</si>
  <si>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</si>
  <si>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</si>
  <si>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</si>
  <si>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</si>
  <si>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</si>
  <si>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</si>
  <si>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</si>
  <si>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</si>
  <si>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</si>
  <si>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</si>
  <si>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</si>
  <si>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</si>
  <si>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</si>
  <si>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</si>
  <si>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</si>
  <si>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</si>
  <si>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</si>
  <si>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</si>
  <si>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</si>
  <si>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</si>
  <si>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</si>
  <si>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</si>
  <si>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</si>
  <si>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</si>
  <si>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</si>
  <si>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</si>
  <si>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</si>
  <si>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</si>
  <si>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</si>
  <si>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</si>
  <si>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</si>
  <si>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</si>
  <si>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</si>
  <si>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</si>
  <si>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</si>
  <si>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</si>
  <si>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</si>
  <si>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</si>
  <si>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</si>
  <si>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</si>
  <si>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</si>
  <si>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</si>
  <si>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</si>
  <si>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</si>
  <si>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</si>
  <si>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</si>
  <si>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</si>
  <si>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</si>
  <si>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</si>
  <si>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</si>
  <si>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</si>
  <si>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</si>
  <si>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</si>
  <si>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</si>
  <si>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</si>
  <si>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</si>
  <si>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</si>
  <si>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</si>
  <si>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</si>
  <si>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</si>
  <si>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</si>
  <si>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</si>
  <si>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</si>
  <si>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</si>
  <si>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</si>
  <si>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</si>
  <si>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</si>
  <si>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</si>
  <si>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</si>
  <si>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</si>
  <si>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</si>
  <si>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</si>
  <si>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</si>
  <si>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</si>
  <si>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</si>
  <si>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</si>
  <si>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</si>
  <si>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</si>
  <si>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</si>
  <si>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</si>
  <si>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</si>
  <si>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</si>
  <si>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</si>
  <si>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</si>
  <si>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</si>
  <si>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</si>
  <si>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</si>
  <si>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</si>
  <si>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</si>
  <si>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</si>
  <si>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</si>
  <si>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</si>
  <si>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</si>
  <si>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</si>
  <si>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</si>
  <si>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</si>
  <si>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</si>
  <si>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</si>
  <si>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</si>
  <si>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</si>
  <si>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</si>
  <si>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</si>
  <si>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</si>
  <si>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</si>
  <si>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</si>
  <si>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</si>
  <si>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</si>
  <si>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</si>
  <si>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</si>
  <si>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</si>
  <si>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</si>
  <si>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</si>
  <si>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</si>
  <si>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</si>
  <si>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</si>
  <si>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</si>
  <si>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</si>
  <si>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</si>
  <si>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</si>
  <si>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</si>
  <si>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</si>
  <si>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</si>
  <si>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</si>
  <si>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</si>
  <si>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</si>
  <si>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</si>
  <si>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</si>
  <si>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</si>
  <si>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</si>
  <si>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</si>
  <si>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</si>
  <si>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</si>
  <si>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</si>
  <si>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</si>
  <si>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</si>
  <si>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</si>
  <si>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</si>
  <si>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</si>
  <si>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</si>
  <si>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</si>
  <si>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</si>
  <si>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</si>
  <si>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</si>
  <si>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</si>
  <si>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</si>
  <si>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</si>
  <si>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</si>
  <si>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</si>
  <si>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</si>
  <si>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</si>
  <si>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</si>
  <si>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</si>
  <si>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</si>
  <si>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</si>
  <si>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</si>
  <si>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</si>
  <si>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</si>
  <si>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</si>
  <si>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</si>
  <si>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</si>
  <si>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</si>
  <si>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</si>
  <si>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</si>
  <si>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</si>
  <si>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</si>
  <si>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</si>
  <si>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</si>
  <si>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</si>
  <si>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</si>
  <si>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</si>
  <si>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</si>
  <si>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</si>
  <si>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</si>
  <si>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</si>
  <si>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</si>
  <si>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</si>
  <si>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</si>
  <si>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</si>
  <si>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</si>
  <si>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</si>
  <si>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</si>
  <si>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</si>
  <si>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</si>
  <si>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</si>
  <si>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</si>
  <si>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</si>
  <si>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</si>
  <si>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</si>
  <si>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</si>
  <si>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</si>
  <si>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</si>
  <si>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</si>
  <si>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</si>
  <si>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</si>
  <si>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</si>
  <si>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</si>
  <si>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</si>
  <si>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</si>
  <si>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</si>
  <si>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</si>
  <si>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</si>
  <si>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</si>
  <si>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</si>
  <si>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</si>
  <si>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</si>
  <si>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</si>
  <si>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</si>
  <si>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</si>
  <si>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</si>
  <si>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</si>
  <si>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</si>
  <si>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</si>
  <si>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</si>
  <si>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</si>
  <si>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</si>
  <si>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</si>
  <si>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</si>
  <si>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</si>
  <si>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</si>
  <si>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</si>
  <si>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</si>
  <si>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</si>
  <si>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</si>
  <si>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</si>
  <si>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</si>
  <si>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</si>
  <si>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</si>
  <si>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</si>
  <si>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</si>
  <si>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</si>
  <si>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</si>
  <si>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</si>
  <si>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</si>
  <si>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</si>
  <si>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</si>
  <si>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</si>
  <si>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</si>
  <si>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</si>
  <si>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</si>
  <si>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</si>
  <si>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</si>
  <si>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</si>
  <si>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</si>
  <si>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</si>
  <si>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</si>
  <si>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</si>
  <si>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</si>
  <si>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</si>
  <si>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</si>
  <si>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</si>
  <si>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</si>
  <si>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</si>
  <si>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</si>
  <si>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</si>
  <si>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</si>
  <si>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</si>
  <si>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</si>
  <si>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</si>
  <si>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</si>
  <si>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</si>
  <si>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</si>
  <si>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</si>
  <si>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</si>
  <si>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</si>
  <si>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</si>
  <si>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</si>
  <si>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</si>
  <si>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</si>
  <si>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</si>
  <si>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</si>
  <si>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</si>
  <si>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</si>
  <si>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</si>
  <si>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</si>
  <si>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</si>
  <si>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</si>
  <si>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</si>
  <si>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</si>
  <si>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</si>
  <si>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</si>
  <si>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</si>
  <si>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</si>
  <si>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</si>
  <si>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</si>
  <si>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</si>
  <si>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</si>
  <si>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</si>
  <si>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</si>
  <si>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</si>
  <si>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</si>
  <si>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</si>
  <si>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</si>
  <si>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</si>
  <si>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</si>
  <si>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</si>
  <si>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</si>
  <si>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</si>
  <si>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</si>
  <si>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</si>
  <si>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</si>
  <si>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</si>
  <si>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</si>
  <si>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</si>
  <si>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</si>
  <si>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</si>
  <si>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</si>
  <si>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</si>
  <si>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</si>
  <si>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</si>
  <si>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</si>
  <si>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</si>
  <si>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</si>
  <si>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</si>
  <si>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</si>
  <si>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</si>
  <si>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</si>
  <si>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</si>
  <si>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</si>
  <si>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</si>
  <si>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</si>
  <si>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</si>
  <si>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</si>
  <si>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</si>
  <si>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</si>
  <si>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</si>
  <si>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</si>
  <si>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</si>
  <si>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</si>
  <si>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</si>
  <si>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</si>
  <si>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</si>
  <si>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</si>
  <si>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</si>
  <si>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</si>
  <si>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</si>
  <si>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</si>
  <si>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</si>
  <si>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</si>
  <si>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</si>
  <si>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</si>
  <si>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</si>
  <si>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</si>
  <si>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</si>
  <si>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</si>
  <si>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</si>
  <si>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</si>
  <si>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</si>
  <si>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</si>
  <si>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</si>
  <si>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</si>
  <si>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</si>
  <si>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</si>
  <si>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</si>
  <si>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</si>
  <si>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</si>
  <si>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</si>
  <si>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</si>
  <si>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</si>
  <si>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</si>
  <si>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</si>
  <si>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</si>
  <si>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</si>
  <si>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</si>
  <si>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</si>
  <si>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</si>
  <si>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</si>
  <si>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</si>
  <si>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</si>
  <si>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</si>
  <si>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</si>
  <si>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</si>
  <si>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</si>
  <si>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</si>
  <si>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</si>
  <si>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</si>
  <si>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</si>
  <si>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</si>
  <si>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</si>
  <si>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</si>
  <si>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</si>
  <si>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</si>
  <si>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</si>
  <si>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</si>
  <si>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</si>
  <si>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</si>
  <si>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</si>
  <si>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</si>
  <si>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</si>
  <si>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</si>
  <si>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</si>
  <si>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</si>
  <si>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</si>
  <si>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</si>
  <si>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</si>
  <si>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</si>
  <si>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</si>
  <si>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</si>
  <si>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</si>
  <si>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</si>
  <si>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</si>
  <si>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</si>
  <si>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</si>
  <si>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</si>
  <si>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</si>
  <si>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</si>
  <si>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</si>
  <si>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</si>
  <si>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</si>
  <si>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</si>
  <si>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</si>
  <si>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</si>
  <si>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</si>
  <si>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</si>
  <si>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</si>
  <si>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</si>
  <si>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</si>
  <si>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</si>
  <si>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</si>
  <si>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</si>
  <si>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</si>
  <si>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</si>
  <si>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</si>
  <si>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</si>
  <si>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</si>
  <si>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</si>
  <si>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</si>
  <si>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</si>
  <si>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</si>
  <si>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</si>
  <si>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</si>
  <si>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</si>
  <si>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</si>
  <si>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</si>
  <si>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</si>
  <si>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</si>
  <si>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</si>
  <si>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</si>
  <si>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</si>
  <si>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</si>
  <si>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</si>
  <si>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</si>
  <si>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</si>
  <si>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</si>
  <si>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</si>
  <si>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</si>
  <si>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</si>
  <si>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</si>
  <si>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</si>
  <si>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</si>
  <si>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</si>
  <si>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</si>
  <si>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</si>
  <si>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</si>
  <si>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</si>
  <si>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</si>
  <si>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</si>
  <si>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</si>
  <si>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</si>
  <si>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</si>
  <si>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</si>
  <si>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</si>
  <si>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</si>
  <si>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</si>
  <si>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</si>
  <si>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</si>
  <si>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</si>
  <si>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</si>
  <si>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</si>
  <si>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</si>
  <si>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</si>
  <si>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</si>
  <si>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</si>
  <si>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</si>
  <si>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</si>
  <si>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</si>
  <si>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</si>
  <si>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</si>
  <si>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</si>
  <si>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</si>
  <si>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</si>
  <si>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</si>
  <si>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</si>
  <si>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</si>
  <si>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</si>
  <si>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</si>
  <si>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</si>
  <si>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</si>
  <si>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</si>
  <si>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</si>
  <si>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</si>
  <si>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</si>
  <si>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</si>
  <si>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</si>
  <si>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</si>
  <si>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</si>
  <si>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</si>
  <si>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</si>
  <si>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</si>
  <si>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</si>
  <si>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</si>
  <si>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</si>
  <si>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</si>
  <si>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</si>
  <si>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</si>
  <si>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</si>
  <si>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</si>
  <si>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</si>
  <si>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</si>
  <si>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</si>
  <si>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</si>
  <si>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</si>
  <si>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</si>
  <si>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</si>
  <si>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</si>
  <si>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</si>
  <si>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</si>
  <si>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</si>
  <si>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</si>
  <si>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</si>
  <si>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</si>
  <si>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</si>
  <si>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</si>
  <si>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</si>
  <si>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</si>
  <si>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</si>
  <si>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</si>
  <si>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</si>
  <si>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</si>
  <si>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</si>
  <si>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</si>
  <si>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</si>
  <si>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</si>
  <si>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</si>
  <si>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</si>
  <si>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</si>
  <si>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</si>
  <si>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</si>
  <si>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</si>
  <si>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</si>
  <si>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</si>
  <si>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</si>
  <si>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</si>
  <si>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</si>
  <si>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</si>
  <si>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</si>
  <si>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</si>
  <si>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</si>
  <si>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</si>
  <si>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</si>
  <si>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</si>
  <si>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</si>
  <si>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</si>
  <si>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</si>
  <si>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</si>
  <si>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</si>
  <si>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</si>
  <si>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</si>
  <si>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</si>
  <si>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</si>
  <si>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</si>
  <si>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</si>
  <si>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</si>
  <si>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</si>
  <si>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</si>
  <si>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</si>
  <si>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</si>
  <si>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</si>
  <si>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</si>
  <si>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</si>
  <si>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</si>
  <si>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</si>
  <si>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</si>
  <si>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</si>
  <si>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</si>
  <si>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</si>
  <si>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</si>
  <si>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</si>
  <si>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</si>
  <si>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</si>
  <si>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</si>
  <si>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</si>
  <si>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</si>
  <si>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</si>
  <si>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</si>
  <si>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</si>
  <si>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</si>
  <si>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</si>
  <si>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</si>
  <si>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</si>
  <si>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</si>
  <si>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</si>
  <si>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</si>
  <si>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</si>
  <si>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</si>
  <si>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</si>
  <si>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</si>
  <si>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</si>
  <si>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</si>
  <si>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</si>
  <si>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</si>
  <si>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</si>
  <si>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</si>
  <si>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</si>
  <si>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</si>
  <si>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</si>
  <si>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</si>
  <si>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</si>
  <si>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</si>
  <si>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</si>
  <si>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</si>
  <si>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</si>
  <si>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</si>
  <si>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</si>
  <si>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</si>
  <si>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</si>
  <si>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</si>
  <si>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</si>
  <si>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</si>
  <si>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</si>
  <si>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</si>
  <si>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</si>
  <si>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</si>
  <si>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</si>
  <si>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</si>
  <si>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</si>
  <si>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</si>
  <si>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</si>
  <si>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</si>
  <si>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</si>
  <si>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</si>
  <si>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</si>
  <si>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</si>
  <si>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</si>
  <si>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</si>
  <si>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</si>
  <si>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</si>
  <si>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</si>
  <si>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</si>
  <si>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</si>
  <si>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</si>
  <si>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</si>
  <si>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</si>
  <si>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</si>
  <si>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</si>
  <si>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</si>
  <si>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</si>
  <si>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</si>
  <si>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</si>
  <si>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</si>
  <si>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</si>
  <si>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</si>
  <si>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</si>
  <si>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</si>
  <si>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</si>
  <si>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</si>
  <si>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</si>
  <si>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</si>
  <si>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</si>
  <si>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</si>
  <si>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</si>
  <si>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</si>
  <si>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</si>
  <si>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</si>
  <si>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</si>
  <si>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</si>
  <si>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</si>
  <si>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</si>
  <si>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</si>
  <si>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</si>
  <si>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</si>
  <si>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</si>
  <si>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</si>
  <si>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</si>
  <si>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</si>
  <si>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</si>
  <si>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</si>
  <si>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</si>
  <si>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</si>
  <si>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</si>
  <si>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</si>
  <si>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</si>
  <si>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</si>
  <si>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</si>
  <si>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</si>
  <si>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</si>
  <si>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</si>
  <si>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</si>
  <si>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</si>
  <si>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</si>
  <si>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</si>
  <si>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</si>
  <si>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</si>
  <si>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</si>
  <si>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</si>
  <si>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</si>
  <si>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</si>
  <si>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</si>
  <si>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</si>
  <si>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</si>
  <si>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</si>
  <si>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</si>
  <si>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</si>
  <si>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</si>
  <si>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</si>
  <si>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</si>
  <si>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</si>
  <si>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</si>
  <si>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</si>
  <si>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</si>
  <si>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</si>
  <si>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</si>
  <si>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</si>
  <si>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</si>
  <si>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</si>
  <si>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</si>
  <si>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</si>
  <si>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</si>
  <si>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</si>
  <si>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</si>
  <si>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</si>
  <si>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</si>
  <si>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</si>
  <si>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</si>
  <si>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</si>
  <si>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</si>
  <si>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</si>
  <si>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</si>
  <si>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</si>
  <si>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</si>
  <si>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</si>
  <si>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</si>
  <si>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</si>
  <si>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</si>
  <si>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</si>
  <si>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</si>
  <si>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</si>
  <si>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</si>
  <si>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</si>
  <si>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</si>
  <si>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</si>
  <si>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</si>
  <si>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</si>
  <si>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</si>
  <si>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</si>
  <si>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</si>
  <si>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</si>
  <si>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</si>
  <si>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</si>
  <si>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</si>
  <si>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</si>
  <si>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</si>
  <si>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</si>
  <si>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</si>
  <si>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</si>
  <si>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</si>
  <si>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</si>
  <si>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</si>
  <si>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</si>
  <si>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</si>
  <si>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</si>
  <si>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</si>
  <si>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</si>
  <si>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</si>
  <si>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</si>
  <si>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</si>
  <si>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</si>
  <si>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</si>
  <si>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</si>
  <si>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</si>
  <si>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</si>
  <si>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</si>
  <si>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</si>
  <si>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</si>
  <si>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</si>
  <si>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</si>
  <si>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</si>
  <si>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</si>
  <si>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</si>
  <si>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</si>
  <si>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</si>
  <si>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</si>
  <si>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</si>
  <si>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</si>
  <si>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</si>
  <si>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</si>
  <si>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</si>
  <si>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</si>
  <si>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</si>
  <si>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</si>
  <si>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</si>
  <si>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</si>
  <si>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</si>
  <si>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</si>
  <si>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</si>
  <si>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</si>
  <si>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</si>
  <si>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</si>
  <si>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</si>
  <si>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</si>
  <si>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</si>
  <si>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</si>
  <si>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</si>
  <si>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</si>
  <si>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</si>
  <si>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</si>
  <si>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</si>
  <si>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</si>
  <si>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</si>
  <si>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</si>
  <si>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</si>
  <si>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</si>
  <si>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</si>
  <si>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</si>
  <si>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</si>
  <si>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</si>
  <si>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</si>
  <si>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</si>
  <si>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</si>
  <si>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</si>
  <si>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</si>
  <si>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</si>
  <si>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</si>
  <si>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</si>
  <si>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</si>
  <si>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</si>
  <si>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</si>
  <si>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</si>
  <si>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</si>
  <si>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</si>
  <si>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</si>
  <si>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</si>
  <si>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</si>
  <si>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</si>
  <si>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</si>
  <si>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</si>
  <si>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</si>
  <si>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</si>
  <si>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</si>
  <si>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</si>
  <si>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</si>
  <si>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</si>
  <si>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</si>
  <si>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</si>
  <si>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</si>
  <si>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</si>
  <si>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</si>
  <si>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</si>
  <si>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</si>
  <si>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</si>
  <si>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</si>
  <si>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</si>
  <si>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</si>
  <si>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</si>
  <si>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</si>
  <si>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</si>
  <si>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</si>
  <si>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</si>
  <si>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</si>
  <si>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</si>
  <si>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</si>
  <si>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</si>
  <si>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</si>
  <si>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</si>
  <si>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</si>
  <si>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</si>
  <si>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</si>
  <si>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</si>
  <si>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</si>
  <si>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</si>
  <si>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</si>
  <si>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</si>
  <si>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</si>
  <si>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</si>
  <si>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</si>
  <si>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</si>
  <si>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</si>
  <si>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</si>
  <si>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</si>
  <si>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</si>
  <si>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</si>
  <si>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</si>
  <si>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</si>
  <si>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</si>
  <si>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</si>
  <si>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</si>
  <si>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</si>
  <si>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</si>
  <si>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</si>
  <si>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</si>
  <si>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</si>
  <si>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</si>
  <si>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</si>
  <si>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</si>
  <si>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</si>
  <si>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</si>
  <si>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</si>
  <si>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</si>
  <si>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</si>
  <si>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</si>
  <si>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</si>
  <si>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</si>
  <si>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</si>
  <si>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</si>
  <si>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</si>
  <si>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</si>
  <si>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</si>
  <si>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</si>
  <si>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</si>
  <si>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</si>
  <si>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</si>
  <si>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</si>
  <si>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</si>
  <si>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</si>
  <si>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</si>
  <si>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</si>
  <si>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</si>
  <si>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</si>
  <si>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</si>
  <si>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</si>
  <si>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</si>
  <si>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</si>
  <si>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</si>
  <si>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</si>
  <si>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</si>
  <si>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</si>
  <si>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</si>
  <si>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</si>
  <si>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</si>
  <si>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</si>
  <si>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</si>
  <si>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</si>
  <si>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</si>
  <si>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</si>
  <si>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</si>
  <si>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</si>
  <si>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</si>
  <si>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</si>
  <si>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</si>
  <si>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</si>
  <si>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</si>
  <si>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</si>
  <si>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</si>
  <si>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</si>
  <si>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</si>
  <si>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</si>
  <si>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</si>
  <si>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</si>
  <si>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</si>
  <si>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</si>
  <si>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</si>
  <si>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</si>
  <si>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</si>
  <si>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</si>
  <si>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</si>
  <si>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</si>
  <si>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</si>
  <si>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</si>
  <si>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</si>
  <si>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</si>
  <si>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</si>
  <si>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</si>
  <si>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</si>
  <si>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</si>
  <si>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</si>
  <si>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</si>
  <si>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</si>
  <si>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</si>
  <si>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</si>
  <si>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</si>
  <si>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</si>
  <si>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</si>
  <si>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</si>
  <si>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</si>
  <si>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</si>
  <si>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</si>
  <si>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</si>
  <si>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</si>
  <si>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</si>
  <si>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</si>
  <si>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</si>
  <si>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</si>
  <si>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</si>
  <si>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</si>
  <si>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</si>
  <si>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</si>
  <si>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</si>
  <si>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</si>
  <si>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</si>
  <si>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</si>
  <si>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</si>
  <si>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</si>
  <si>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</si>
  <si>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</si>
  <si>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</si>
  <si>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</si>
  <si>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</si>
  <si>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</si>
  <si>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</si>
  <si>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</si>
  <si>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</si>
  <si>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</si>
  <si>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</si>
  <si>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</si>
  <si>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</si>
  <si>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</si>
  <si>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</si>
  <si>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</si>
  <si>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</si>
  <si>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</si>
  <si>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</si>
  <si>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</si>
  <si>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</si>
  <si>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</si>
  <si>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</si>
  <si>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</si>
  <si>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</si>
  <si>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</si>
  <si>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</si>
  <si>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</si>
  <si>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</si>
  <si>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</si>
  <si>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</si>
  <si>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</si>
  <si>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</si>
  <si>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</si>
  <si>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</si>
  <si>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</si>
  <si>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</si>
  <si>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</si>
  <si>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</si>
  <si>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</si>
  <si>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</si>
  <si>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</si>
  <si>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</si>
  <si>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</si>
  <si>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</si>
  <si>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</si>
  <si>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</si>
  <si>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</si>
  <si>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</si>
  <si>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</si>
  <si>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</si>
  <si>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</si>
  <si>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</si>
  <si>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</si>
  <si>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</si>
  <si>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</si>
  <si>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</si>
  <si>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</si>
  <si>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</si>
  <si>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</si>
  <si>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</si>
  <si>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</si>
  <si>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</si>
  <si>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</si>
  <si>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</si>
  <si>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</si>
  <si>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</si>
  <si>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</si>
  <si>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</si>
  <si>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</si>
  <si>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</si>
  <si>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</si>
  <si>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</si>
  <si>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</si>
  <si>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</si>
  <si>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</si>
  <si>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</si>
  <si>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</si>
  <si>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</si>
  <si>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</si>
  <si>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</si>
  <si>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</si>
  <si>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</si>
  <si>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</si>
  <si>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</si>
  <si>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</si>
  <si>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</si>
  <si>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</si>
  <si>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</si>
  <si>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</si>
  <si>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</si>
  <si>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</si>
  <si>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</si>
  <si>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</si>
  <si>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</si>
  <si>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</si>
  <si>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</si>
  <si>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</si>
  <si>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</si>
  <si>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</si>
  <si>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</si>
  <si>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</si>
  <si>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</si>
  <si>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</si>
  <si>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</si>
  <si>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</si>
  <si>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</si>
  <si>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</si>
  <si>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</si>
  <si>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</si>
  <si>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</si>
  <si>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</si>
  <si>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</si>
  <si>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</si>
  <si>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</si>
  <si>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</si>
  <si>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</si>
  <si>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</si>
  <si>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</si>
  <si>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</si>
  <si>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</si>
  <si>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</si>
  <si>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</si>
  <si>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</si>
  <si>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</si>
  <si>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</si>
  <si>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</si>
  <si>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</si>
  <si>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</si>
  <si>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</si>
  <si>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</si>
  <si>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</si>
  <si>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</si>
  <si>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</si>
  <si>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</si>
  <si>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</si>
  <si>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</si>
  <si>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</si>
  <si>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</si>
  <si>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</si>
  <si>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</si>
  <si>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</si>
  <si>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</si>
  <si>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</si>
  <si>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</si>
  <si>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</si>
  <si>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</si>
  <si>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</si>
  <si>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</si>
  <si>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</si>
  <si>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</si>
  <si>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</si>
  <si>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</si>
  <si>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</si>
  <si>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</si>
  <si>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</si>
  <si>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</si>
  <si>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</si>
  <si>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</si>
  <si>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</si>
  <si>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</si>
  <si>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</si>
  <si>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</si>
  <si>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</si>
  <si>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</si>
  <si>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</si>
  <si>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</si>
  <si>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</si>
  <si>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</si>
  <si>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</si>
  <si>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</si>
  <si>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</si>
  <si>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</si>
  <si>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</si>
  <si>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</si>
  <si>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</si>
  <si>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</si>
  <si>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</si>
  <si>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</si>
  <si>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</si>
  <si>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</si>
  <si>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</si>
  <si>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</si>
  <si>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</si>
  <si>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</si>
  <si>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</si>
  <si>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</si>
  <si>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</si>
  <si>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</si>
  <si>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</si>
  <si>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</si>
  <si>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</si>
  <si>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</si>
  <si>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</si>
  <si>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</si>
  <si>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</si>
  <si>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</si>
  <si>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</si>
  <si>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</si>
  <si>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</si>
  <si>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</si>
  <si>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</si>
  <si>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</si>
  <si>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</si>
  <si>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</si>
  <si>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</si>
  <si>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</si>
  <si>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</si>
  <si>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</si>
  <si>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</si>
  <si>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</si>
  <si>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</si>
  <si>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</si>
  <si>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</si>
  <si>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</si>
  <si>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</si>
  <si>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</si>
  <si>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</si>
  <si>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</si>
  <si>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</si>
  <si>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</si>
  <si>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</si>
  <si>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</si>
  <si>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</si>
  <si>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</si>
  <si>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</si>
  <si>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</si>
  <si>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</si>
  <si>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</si>
  <si>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</si>
  <si>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</si>
  <si>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</si>
  <si>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</si>
  <si>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</si>
  <si>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</si>
  <si>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</si>
  <si>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</si>
  <si>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</si>
  <si>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</si>
  <si>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</si>
  <si>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</si>
  <si>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</si>
  <si>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</si>
  <si>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</si>
  <si>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</si>
  <si>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</si>
  <si>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</si>
  <si>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</si>
  <si>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</si>
  <si>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</si>
  <si>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</si>
  <si>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</si>
  <si>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</si>
  <si>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</si>
  <si>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</si>
  <si>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</si>
  <si>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</si>
  <si>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</si>
  <si>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</si>
  <si>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</si>
  <si>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</si>
  <si>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</si>
  <si>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</si>
  <si>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</si>
  <si>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</si>
  <si>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</si>
  <si>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</si>
  <si>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</si>
  <si>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</si>
  <si>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</si>
  <si>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</si>
  <si>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</si>
  <si>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</si>
  <si>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</si>
  <si>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</si>
  <si>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</si>
  <si>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</si>
  <si>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</si>
  <si>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</si>
  <si>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</si>
  <si>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</si>
  <si>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</si>
  <si>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</si>
  <si>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</si>
  <si>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</si>
  <si>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</si>
  <si>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</si>
  <si>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</si>
  <si>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</si>
  <si>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</si>
  <si>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</si>
  <si>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</si>
  <si>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</si>
  <si>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</si>
  <si>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</si>
  <si>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</si>
  <si>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</si>
  <si>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</si>
  <si>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</si>
  <si>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</si>
  <si>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</si>
  <si>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</si>
  <si>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</si>
  <si>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</si>
  <si>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</si>
  <si>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</si>
  <si>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</si>
  <si>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</si>
  <si>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</si>
  <si>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</si>
  <si>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</si>
  <si>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</si>
  <si>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</si>
  <si>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</si>
  <si>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</si>
  <si>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</si>
  <si>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</si>
  <si>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</si>
  <si>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</si>
  <si>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</si>
  <si>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</si>
  <si>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</si>
  <si>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</si>
  <si>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</si>
  <si>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</si>
  <si>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</si>
  <si>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</si>
  <si>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</si>
  <si>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</si>
  <si>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</si>
  <si>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</si>
  <si>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</si>
  <si>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</si>
  <si>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</si>
  <si>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</si>
  <si>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</si>
  <si>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</si>
  <si>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</si>
  <si>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</si>
  <si>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</si>
  <si>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</si>
  <si>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</si>
  <si>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</si>
  <si>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</si>
  <si>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</si>
  <si>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</si>
  <si>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</si>
  <si>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</si>
  <si>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</si>
  <si>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</si>
  <si>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</si>
  <si>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</si>
  <si>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</si>
  <si>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</si>
  <si>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</si>
  <si>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</si>
  <si>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</si>
  <si>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</si>
  <si>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</si>
  <si>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</si>
  <si>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</si>
  <si>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</si>
  <si>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</si>
  <si>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</si>
  <si>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</si>
  <si>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</si>
  <si>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</si>
  <si>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</si>
  <si>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</si>
  <si>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</si>
  <si>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</si>
  <si>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</si>
  <si>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</si>
  <si>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</si>
  <si>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</si>
  <si>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</si>
  <si>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</si>
  <si>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</si>
  <si>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</si>
  <si>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</si>
  <si>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</si>
  <si>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</si>
  <si>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</si>
  <si>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</si>
  <si>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</si>
  <si>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</si>
  <si>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</si>
  <si>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</si>
  <si>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</si>
  <si>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</si>
  <si>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</si>
  <si>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</si>
  <si>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</si>
  <si>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</si>
  <si>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</si>
  <si>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</si>
  <si>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</si>
  <si>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</si>
  <si>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</si>
  <si>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</si>
  <si>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</si>
  <si>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</si>
  <si>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</si>
  <si>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</si>
  <si>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</si>
  <si>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</si>
  <si>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</si>
  <si>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</si>
  <si>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</si>
  <si>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</si>
  <si>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</si>
  <si>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</si>
  <si>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</si>
  <si>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</si>
  <si>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</si>
  <si>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</si>
  <si>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</si>
  <si>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</si>
  <si>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</si>
  <si>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</si>
  <si>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</si>
  <si>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</si>
  <si>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</si>
  <si>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</si>
  <si>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</si>
  <si>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</si>
  <si>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</si>
  <si>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</si>
  <si>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</si>
  <si>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</si>
  <si>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</si>
  <si>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</si>
  <si>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</si>
  <si>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</si>
  <si>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</si>
  <si>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</si>
  <si>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</si>
  <si>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</si>
  <si>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</si>
  <si>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</si>
  <si>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</si>
  <si>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</si>
  <si>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</si>
  <si>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</si>
  <si>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</si>
  <si>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</si>
  <si>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</si>
  <si>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</si>
  <si>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</si>
  <si>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</si>
  <si>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</si>
  <si>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</si>
  <si>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</si>
  <si>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</si>
  <si>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</si>
  <si>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</si>
  <si>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</si>
  <si>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</si>
  <si>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</si>
  <si>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</si>
  <si>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</si>
  <si>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</si>
  <si>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</si>
  <si>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</si>
  <si>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</si>
  <si>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</si>
  <si>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</si>
  <si>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</si>
  <si>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</si>
  <si>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</si>
  <si>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</si>
  <si>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</si>
  <si>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</si>
  <si>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</si>
  <si>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</si>
  <si>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</si>
  <si>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</si>
  <si>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</si>
  <si>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</si>
  <si>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</si>
  <si>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</si>
  <si>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</si>
  <si>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</si>
  <si>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</si>
  <si>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</si>
  <si>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</si>
  <si>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</si>
  <si>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</si>
  <si>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</si>
  <si>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</si>
  <si>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</si>
  <si>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</si>
  <si>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</si>
  <si>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</si>
  <si>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</si>
  <si>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</si>
  <si>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</si>
  <si>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</si>
  <si>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</si>
  <si>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</si>
  <si>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</si>
  <si>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</si>
  <si>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</si>
  <si>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</si>
  <si>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</si>
  <si>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</si>
  <si>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</si>
  <si>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</si>
  <si>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</si>
  <si>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</si>
  <si>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</si>
  <si>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</si>
  <si>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</si>
  <si>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</si>
  <si>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</si>
  <si>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</si>
  <si>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</si>
  <si>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</si>
  <si>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</si>
  <si>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</si>
  <si>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</si>
  <si>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</si>
  <si>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</si>
  <si>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</si>
  <si>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</si>
  <si>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</si>
  <si>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</si>
  <si>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</si>
  <si>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</si>
  <si>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</si>
  <si>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</si>
  <si>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</si>
  <si>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</si>
  <si>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</si>
  <si>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</si>
  <si>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</si>
  <si>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</si>
  <si>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</si>
  <si>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</si>
  <si>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</si>
  <si>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</si>
  <si>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</si>
  <si>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</si>
  <si>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</si>
  <si>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</si>
  <si>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</si>
  <si>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</si>
  <si>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</si>
  <si>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</si>
  <si>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</si>
  <si>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</si>
  <si>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</si>
  <si>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</si>
  <si>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</si>
  <si>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</si>
  <si>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</si>
  <si>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</si>
  <si>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</si>
  <si>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</si>
  <si>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</si>
  <si>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</si>
  <si>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</si>
  <si>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</si>
  <si>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</si>
  <si>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</si>
  <si>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</si>
  <si>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</si>
  <si>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</si>
  <si>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</si>
  <si>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</si>
  <si>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</si>
  <si>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</si>
  <si>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</si>
  <si>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</si>
  <si>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</si>
  <si>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</si>
  <si>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</si>
  <si>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</si>
  <si>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</si>
  <si>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</si>
  <si>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</si>
  <si>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</si>
  <si>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</si>
  <si>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</si>
  <si>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</si>
  <si>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</si>
  <si>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</si>
  <si>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</si>
  <si>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</si>
  <si>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</si>
  <si>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</si>
  <si>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</si>
  <si>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</si>
  <si>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</si>
  <si>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</si>
  <si>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</si>
  <si>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</si>
  <si>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</si>
  <si>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</si>
  <si>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</si>
  <si>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</si>
  <si>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</si>
  <si>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</si>
  <si>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</si>
  <si>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</si>
  <si>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</si>
  <si>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</si>
  <si>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</si>
  <si>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</si>
  <si>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</si>
  <si>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</si>
  <si>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</si>
  <si>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</si>
  <si>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</si>
  <si>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</si>
  <si>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</si>
  <si>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</si>
  <si>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</si>
  <si>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</si>
  <si>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</si>
  <si>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</si>
  <si>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</si>
  <si>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</si>
  <si>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</si>
  <si>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</si>
  <si>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</si>
  <si>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</si>
  <si>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</si>
  <si>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</si>
  <si>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</si>
  <si>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</si>
  <si>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</si>
  <si>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</si>
  <si>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</si>
  <si>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</si>
  <si>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</si>
  <si>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</si>
  <si>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</si>
  <si>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</si>
  <si>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</si>
  <si>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</si>
  <si>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</si>
  <si>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</si>
  <si>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</si>
  <si>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</si>
  <si>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</si>
  <si>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</si>
  <si>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</si>
  <si>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</si>
  <si>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</si>
  <si>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</si>
  <si>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</si>
  <si>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</si>
  <si>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</si>
  <si>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</si>
  <si>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</si>
  <si>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</si>
  <si>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</si>
  <si>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</si>
  <si>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</si>
  <si>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</si>
  <si>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</si>
  <si>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</si>
  <si>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</si>
  <si>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</si>
  <si>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</si>
  <si>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</si>
  <si>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</si>
  <si>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</si>
  <si>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</si>
  <si>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</si>
  <si>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</si>
  <si>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</si>
  <si>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</si>
  <si>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</si>
  <si>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</si>
  <si>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</si>
  <si>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</si>
  <si>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</si>
  <si>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</si>
  <si>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</si>
  <si>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</si>
  <si>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</si>
  <si>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</si>
  <si>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</si>
  <si>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</si>
  <si>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</si>
  <si>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</si>
  <si>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</si>
  <si>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</si>
  <si>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</si>
  <si>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</si>
  <si>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</si>
  <si>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</si>
  <si>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</si>
  <si>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</si>
  <si>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</si>
  <si>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</si>
  <si>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</si>
  <si>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</si>
  <si>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</si>
  <si>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</si>
  <si>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</si>
  <si>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</si>
  <si>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</si>
  <si>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</si>
  <si>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</si>
  <si>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</si>
  <si>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</si>
  <si>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</si>
  <si>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</si>
  <si>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</si>
  <si>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</si>
  <si>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</si>
  <si>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</si>
  <si>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</si>
  <si>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</si>
  <si>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</si>
  <si>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</si>
  <si>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</si>
  <si>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</si>
  <si>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</si>
  <si>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</si>
  <si>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</si>
  <si>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</si>
  <si>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</si>
  <si>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</si>
  <si>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</si>
  <si>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</si>
  <si>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</si>
  <si>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</si>
  <si>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</si>
  <si>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</si>
  <si>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</si>
  <si>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</si>
  <si>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</si>
  <si>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</si>
  <si>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</si>
  <si>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</si>
  <si>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</si>
  <si>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</si>
  <si>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</si>
  <si>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</si>
  <si>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</si>
  <si>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</si>
  <si>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</si>
  <si>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</si>
  <si>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</si>
  <si>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</si>
  <si>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</si>
  <si>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</si>
  <si>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</si>
  <si>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</si>
  <si>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</si>
  <si>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</si>
  <si>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</si>
  <si>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</si>
  <si>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</si>
  <si>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</si>
  <si>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</si>
  <si>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</si>
  <si>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</si>
  <si>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</si>
  <si>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</si>
  <si>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</si>
  <si>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</si>
  <si>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</si>
  <si>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</si>
  <si>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</si>
  <si>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</si>
  <si>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</si>
  <si>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</si>
  <si>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</si>
  <si>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</si>
  <si>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</si>
  <si>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</si>
  <si>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</si>
  <si>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</si>
  <si>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</si>
  <si>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</si>
  <si>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</si>
  <si>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</si>
  <si>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</si>
  <si>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</si>
  <si>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</si>
  <si>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</si>
  <si>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</si>
  <si>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</si>
  <si>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</si>
  <si>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</si>
  <si>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</si>
  <si>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</si>
  <si>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</si>
  <si>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</si>
  <si>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</si>
  <si>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</si>
  <si>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</si>
  <si>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</si>
  <si>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</si>
  <si>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</si>
  <si>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</si>
  <si>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</si>
  <si>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</si>
  <si>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</si>
  <si>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</si>
  <si>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</si>
  <si>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</si>
  <si>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</si>
  <si>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</si>
  <si>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</si>
  <si>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</si>
  <si>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</si>
  <si>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</si>
  <si>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</si>
  <si>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</si>
  <si>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</si>
  <si>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</si>
  <si>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</si>
  <si>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</si>
  <si>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</si>
  <si>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</si>
  <si>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</si>
  <si>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</si>
  <si>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</si>
  <si>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</si>
  <si>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</si>
  <si>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</si>
  <si>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</si>
  <si>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</si>
  <si>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</si>
  <si>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</si>
  <si>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</si>
  <si>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</si>
  <si>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</si>
  <si>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</si>
  <si>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</si>
  <si>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</si>
  <si>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</si>
  <si>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</si>
  <si>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</si>
  <si>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</si>
  <si>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</si>
  <si>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</si>
  <si>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</si>
  <si>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</si>
  <si>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</si>
  <si>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</si>
  <si>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</si>
  <si>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</si>
  <si>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</si>
  <si>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</si>
  <si>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</si>
  <si>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</si>
  <si>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</si>
  <si>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</si>
  <si>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</si>
  <si>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</si>
  <si>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</si>
  <si>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</si>
  <si>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</si>
  <si>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</si>
  <si>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</si>
  <si>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</si>
  <si>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</si>
  <si>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</si>
  <si>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</si>
  <si>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</si>
  <si>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</si>
  <si>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</si>
  <si>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</si>
  <si>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</si>
  <si>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</si>
  <si>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</si>
  <si>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</si>
  <si>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</si>
  <si>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</si>
  <si>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</si>
  <si>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</si>
  <si>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</si>
  <si>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</si>
  <si>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</si>
  <si>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</si>
  <si>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</si>
  <si>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</si>
  <si>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</si>
  <si>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</si>
  <si>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</si>
  <si>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</si>
  <si>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</si>
  <si>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</si>
  <si>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</si>
  <si>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</si>
  <si>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</si>
  <si>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</si>
  <si>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</si>
  <si>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</si>
  <si>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</si>
  <si>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</si>
  <si>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</si>
  <si>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</si>
  <si>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</si>
  <si>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</si>
  <si>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</si>
  <si>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</si>
  <si>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</si>
  <si>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</si>
  <si>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</si>
  <si>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</si>
  <si>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</si>
  <si>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</si>
  <si>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</si>
  <si>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</si>
  <si>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</si>
  <si>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</si>
  <si>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</si>
  <si>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</si>
  <si>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</si>
  <si>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</si>
  <si>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</si>
  <si>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</si>
  <si>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</si>
  <si>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</si>
  <si>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</si>
  <si>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</si>
  <si>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</si>
  <si>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</si>
  <si>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</si>
  <si>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</si>
  <si>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</si>
  <si>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</si>
  <si>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</si>
  <si>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</si>
  <si>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</si>
  <si>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</si>
  <si>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</si>
  <si>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</si>
  <si>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</si>
  <si>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</si>
  <si>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</si>
  <si>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</si>
  <si>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</si>
  <si>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</si>
  <si>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</si>
  <si>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</si>
  <si>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</si>
  <si>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</si>
  <si>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</si>
  <si>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</si>
  <si>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</si>
  <si>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</si>
  <si>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</si>
  <si>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</si>
  <si>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</si>
  <si>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</si>
  <si>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</si>
  <si>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</si>
  <si>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</si>
  <si>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</si>
  <si>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</si>
  <si>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</si>
  <si>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</si>
  <si>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</si>
  <si>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</si>
  <si>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</si>
  <si>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</si>
  <si>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</si>
  <si>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</si>
  <si>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</si>
  <si>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</si>
  <si>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</si>
  <si>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</si>
  <si>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</si>
  <si>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</si>
  <si>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</si>
  <si>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</si>
  <si>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</si>
  <si>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</si>
  <si>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</si>
  <si>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</si>
  <si>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</si>
  <si>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</si>
  <si>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</si>
  <si>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</si>
  <si>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</si>
  <si>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</si>
  <si>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</si>
  <si>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</si>
  <si>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</si>
  <si>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</si>
  <si>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</si>
  <si>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</si>
  <si>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</si>
  <si>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</si>
  <si>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</si>
  <si>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</si>
  <si>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</si>
  <si>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</si>
  <si>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</si>
  <si>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</si>
  <si>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</si>
  <si>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</si>
  <si>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</si>
  <si>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</si>
  <si>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</si>
  <si>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</si>
  <si>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</si>
  <si>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</si>
  <si>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</si>
  <si>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</si>
  <si>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</si>
  <si>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</si>
  <si>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</si>
  <si>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</si>
  <si>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</si>
  <si>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</si>
  <si>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</si>
  <si>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</si>
  <si>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</si>
  <si>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</si>
  <si>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</si>
  <si>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</si>
  <si>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</si>
  <si>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</si>
  <si>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</si>
  <si>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</si>
  <si>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</si>
  <si>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</si>
  <si>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</si>
  <si>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</si>
  <si>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</si>
  <si>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</si>
  <si>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</si>
  <si>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</si>
  <si>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</si>
  <si>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</si>
  <si>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</si>
  <si>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</si>
  <si>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</si>
  <si>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</si>
  <si>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</si>
  <si>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</si>
  <si>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</si>
  <si>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</si>
  <si>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</si>
  <si>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</si>
  <si>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</si>
  <si>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</si>
  <si>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</si>
  <si>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</si>
  <si>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</si>
  <si>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</si>
  <si>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</si>
  <si>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</si>
  <si>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</si>
  <si>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</si>
  <si>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</si>
  <si>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</si>
  <si>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</si>
  <si>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</si>
  <si>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</si>
  <si>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</si>
  <si>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</si>
  <si>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</si>
  <si>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</si>
  <si>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</si>
  <si>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</si>
  <si>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</si>
  <si>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</si>
  <si>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</si>
  <si>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</si>
  <si>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</si>
  <si>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</si>
  <si>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</si>
  <si>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</si>
  <si>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</si>
  <si>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</si>
  <si>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</si>
  <si>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</si>
  <si>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</si>
  <si>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</si>
  <si>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</si>
  <si>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</si>
  <si>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</si>
  <si>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</si>
  <si>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</si>
  <si>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</si>
  <si>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</si>
  <si>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</si>
  <si>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</si>
  <si>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</si>
  <si>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</si>
  <si>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</si>
  <si>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</si>
  <si>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</si>
  <si>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</si>
  <si>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</si>
  <si>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</si>
  <si>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</si>
  <si>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</si>
  <si>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</si>
  <si>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</si>
  <si>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</si>
  <si>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</si>
  <si>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</si>
  <si>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</si>
  <si>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</si>
  <si>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</si>
  <si>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</si>
  <si>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</si>
  <si>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</si>
  <si>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</si>
  <si>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</si>
  <si>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</si>
  <si>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</si>
  <si>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</si>
  <si>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</si>
  <si>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</si>
  <si>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</si>
  <si>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</si>
  <si>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</si>
  <si>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</si>
  <si>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</si>
  <si>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</si>
  <si>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</si>
  <si>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</si>
  <si>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</si>
  <si>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</si>
  <si>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</si>
  <si>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</si>
  <si>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</si>
  <si>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</si>
  <si>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</si>
  <si>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</si>
  <si>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</si>
  <si>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</si>
  <si>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</si>
  <si>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</si>
  <si>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</si>
  <si>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</si>
  <si>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</si>
  <si>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</si>
  <si>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</si>
  <si>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</si>
  <si>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</si>
  <si>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</si>
  <si>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</si>
  <si>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</si>
  <si>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</si>
  <si>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</si>
  <si>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</si>
  <si>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</si>
  <si>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</si>
  <si>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</si>
  <si>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</si>
  <si>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</si>
  <si>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</si>
  <si>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</si>
  <si>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</si>
  <si>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</si>
  <si>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</si>
  <si>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</si>
  <si>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</si>
  <si>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</si>
  <si>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</si>
  <si>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</si>
  <si>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</si>
  <si>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</si>
  <si>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</si>
  <si>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</si>
  <si>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</si>
  <si>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</si>
  <si>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</si>
  <si>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</si>
  <si>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</si>
  <si>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</si>
  <si>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</si>
  <si>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</si>
  <si>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</si>
  <si>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</si>
  <si>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</si>
  <si>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</si>
  <si>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</si>
  <si>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</si>
  <si>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</si>
  <si>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</si>
  <si>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</si>
  <si>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</si>
  <si>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</si>
  <si>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</si>
  <si>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</si>
  <si>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</si>
  <si>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</si>
  <si>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</si>
  <si>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</si>
  <si>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</si>
  <si>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</si>
  <si>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</si>
  <si>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</si>
  <si>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</si>
  <si>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</si>
  <si>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</si>
  <si>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</si>
  <si>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</si>
  <si>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</si>
  <si>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</si>
  <si>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</si>
  <si>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</si>
  <si>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</si>
  <si>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</si>
  <si>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</si>
  <si>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</si>
  <si>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</si>
  <si>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</si>
  <si>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</si>
  <si>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</si>
  <si>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</si>
  <si>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</si>
  <si>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</si>
  <si>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</si>
  <si>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</si>
  <si>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</si>
  <si>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</si>
  <si>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</si>
  <si>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</si>
  <si>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</si>
  <si>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</si>
  <si>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</si>
  <si>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</si>
  <si>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</si>
  <si>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</si>
  <si>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</si>
  <si>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</si>
  <si>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</si>
  <si>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</si>
  <si>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</si>
  <si>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</si>
  <si>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</si>
  <si>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</si>
  <si>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</si>
  <si>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</si>
  <si>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</si>
  <si>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</si>
  <si>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</si>
  <si>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</si>
  <si>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</si>
  <si>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</si>
  <si>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</si>
  <si>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</si>
  <si>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</si>
  <si>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</si>
  <si>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</si>
  <si>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</si>
  <si>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</si>
  <si>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</si>
  <si>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</si>
  <si>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</si>
  <si>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</si>
  <si>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</si>
  <si>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</si>
  <si>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</si>
  <si>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</si>
  <si>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</si>
  <si>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</si>
  <si>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</si>
  <si>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</si>
  <si>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</si>
  <si>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</si>
  <si>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</si>
  <si>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</si>
  <si>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</si>
  <si>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</si>
  <si>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</si>
  <si>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</si>
  <si>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</si>
  <si>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</si>
  <si>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</si>
  <si>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</si>
  <si>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</si>
  <si>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</si>
  <si>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</si>
  <si>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</si>
  <si>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</si>
  <si>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</si>
  <si>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</si>
  <si>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</si>
  <si>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</si>
  <si>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</si>
  <si>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</si>
  <si>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</si>
  <si>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</si>
  <si>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</si>
  <si>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</si>
  <si>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</si>
  <si>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</si>
  <si>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</si>
  <si>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</si>
  <si>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</si>
  <si>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</si>
  <si>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</si>
  <si>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</si>
  <si>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</si>
  <si>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</si>
  <si>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</si>
  <si>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</si>
  <si>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</si>
  <si>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</si>
  <si>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</si>
  <si>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</si>
  <si>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</si>
  <si>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</si>
  <si>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</si>
  <si>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</si>
  <si>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</si>
  <si>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</si>
  <si>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</si>
  <si>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</si>
  <si>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</si>
  <si>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</si>
  <si>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</si>
  <si>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</si>
  <si>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</si>
  <si>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</si>
  <si>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</si>
  <si>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</si>
  <si>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</si>
  <si>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</si>
  <si>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</si>
  <si>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</si>
  <si>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</si>
  <si>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</si>
  <si>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</si>
  <si>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</si>
  <si>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</si>
  <si>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</si>
  <si>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</si>
  <si>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</si>
  <si>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</si>
  <si>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</si>
  <si>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</si>
  <si>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</si>
  <si>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</si>
  <si>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</si>
  <si>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</si>
  <si>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</si>
  <si>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</si>
  <si>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</si>
  <si>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</si>
  <si>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</si>
  <si>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</si>
  <si>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</si>
  <si>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</si>
  <si>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</si>
  <si>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</si>
  <si>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</si>
  <si>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</si>
  <si>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</si>
  <si>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</si>
  <si>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</si>
  <si>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</si>
  <si>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</si>
  <si>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</si>
  <si>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</si>
  <si>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</si>
  <si>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</si>
  <si>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</si>
  <si>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</si>
  <si>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</si>
  <si>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</si>
  <si>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</si>
  <si>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</si>
  <si>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</si>
  <si>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</si>
  <si>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</si>
  <si>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</si>
  <si>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</si>
  <si>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</si>
  <si>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</si>
  <si>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</si>
  <si>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</si>
  <si>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</si>
  <si>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</si>
  <si>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</si>
  <si>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</si>
  <si>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</si>
  <si>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</si>
  <si>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</si>
  <si>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</si>
  <si>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</si>
  <si>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</si>
  <si>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</si>
  <si>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</si>
  <si>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</si>
  <si>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</si>
  <si>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</si>
  <si>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</si>
  <si>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</si>
  <si>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</si>
  <si>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</si>
  <si>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</si>
  <si>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</si>
  <si>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</si>
  <si>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</si>
  <si>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</si>
  <si>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</si>
  <si>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</si>
  <si>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</si>
  <si>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</si>
  <si>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</si>
  <si>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</si>
  <si>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</si>
  <si>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</si>
  <si>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</si>
  <si>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</si>
  <si>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</si>
  <si>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</si>
  <si>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</si>
  <si>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</si>
  <si>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</si>
  <si>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</si>
  <si>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</si>
  <si>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</si>
  <si>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</si>
  <si>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</si>
  <si>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</si>
  <si>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</si>
  <si>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</si>
  <si>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</si>
  <si>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</si>
  <si>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</si>
  <si>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</si>
  <si>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</si>
  <si>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</si>
  <si>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</si>
  <si>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</si>
  <si>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</si>
  <si>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</si>
  <si>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</si>
  <si>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</si>
  <si>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</si>
  <si>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</si>
  <si>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</si>
  <si>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</si>
  <si>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</si>
  <si>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</si>
  <si>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</si>
  <si>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</si>
  <si>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</si>
  <si>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</si>
  <si>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</si>
  <si>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</si>
  <si>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</si>
  <si>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</si>
  <si>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</si>
  <si>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</si>
  <si>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</si>
  <si>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</si>
  <si>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</si>
  <si>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</si>
  <si>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</si>
  <si>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</si>
  <si>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</si>
  <si>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</si>
  <si>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</si>
  <si>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</si>
  <si>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</si>
  <si>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</si>
  <si>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</si>
  <si>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</si>
  <si>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</si>
  <si>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</si>
  <si>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</si>
  <si>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</si>
  <si>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</si>
  <si>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</si>
  <si>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</si>
  <si>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</si>
  <si>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</si>
  <si>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</si>
  <si>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</si>
  <si>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</si>
  <si>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</si>
  <si>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</si>
  <si>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</si>
  <si>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</si>
  <si>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</si>
  <si>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</si>
  <si>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</si>
  <si>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</si>
  <si>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</si>
  <si>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</si>
  <si>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</si>
  <si>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</si>
  <si>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</si>
  <si>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</si>
  <si>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</si>
  <si>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</si>
  <si>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</si>
  <si>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</si>
  <si>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</si>
  <si>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</si>
  <si>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</si>
  <si>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</si>
  <si>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</si>
  <si>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</si>
  <si>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</si>
  <si>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</si>
  <si>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</si>
  <si>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</si>
  <si>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</si>
  <si>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</si>
  <si>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</si>
  <si>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</si>
  <si>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</si>
  <si>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</si>
  <si>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</si>
  <si>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</si>
  <si>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</si>
  <si>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</si>
  <si>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</si>
  <si>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</si>
  <si>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</si>
  <si>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</si>
  <si>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</si>
  <si>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</si>
  <si>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</si>
  <si>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</si>
  <si>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</si>
  <si>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</si>
  <si>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</si>
  <si>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</si>
  <si>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</si>
  <si>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</si>
  <si>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</si>
  <si>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</si>
  <si>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</si>
  <si>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</si>
  <si>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</si>
  <si>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</si>
  <si>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</si>
  <si>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</si>
  <si>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</si>
  <si>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</si>
  <si>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</si>
  <si>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</si>
  <si>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</si>
  <si>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</si>
  <si>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</si>
  <si>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</si>
  <si>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</si>
  <si>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</si>
  <si>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</si>
  <si>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</si>
  <si>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</si>
  <si>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</si>
  <si>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</si>
  <si>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</si>
  <si>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</si>
  <si>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</si>
  <si>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</si>
  <si>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</si>
  <si>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</si>
  <si>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</si>
  <si>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</si>
  <si>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</si>
  <si>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</si>
  <si>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</si>
  <si>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</si>
  <si>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</si>
  <si>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</si>
  <si>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</si>
  <si>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</si>
  <si>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</si>
  <si>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</si>
  <si>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</si>
  <si>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</si>
  <si>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</si>
  <si>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</si>
  <si>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</si>
  <si>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</si>
  <si>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</si>
  <si>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</si>
  <si>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</si>
  <si>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</si>
  <si>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</si>
  <si>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</si>
  <si>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</si>
  <si>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</si>
  <si>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</si>
  <si>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</si>
  <si>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</si>
  <si>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</si>
  <si>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</si>
  <si>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</si>
  <si>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</si>
  <si>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</si>
  <si>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</si>
  <si>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</si>
  <si>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</si>
  <si>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</si>
  <si>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</si>
  <si>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</si>
  <si>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</si>
  <si>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</si>
  <si>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</si>
  <si>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</si>
  <si>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</si>
  <si>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</si>
  <si>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</si>
  <si>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</si>
  <si>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</si>
  <si>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</si>
  <si>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</si>
  <si>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</si>
  <si>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</si>
  <si>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</si>
  <si>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</si>
  <si>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</si>
  <si>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</si>
  <si>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</si>
  <si>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</si>
  <si>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</si>
  <si>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</si>
  <si>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</si>
  <si>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</si>
  <si>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</si>
  <si>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</si>
  <si>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</si>
  <si>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</si>
  <si>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</si>
  <si>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</si>
  <si>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</si>
  <si>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</si>
  <si>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</si>
  <si>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</si>
  <si>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</si>
  <si>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</si>
  <si>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</si>
  <si>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</si>
  <si>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</si>
  <si>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</si>
  <si>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</si>
  <si>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</si>
  <si>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</si>
  <si>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</si>
  <si>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</si>
  <si>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</si>
  <si>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</si>
  <si>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</si>
  <si>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</si>
  <si>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</si>
  <si>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</si>
  <si>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</si>
  <si>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</si>
  <si>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</si>
  <si>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</si>
  <si>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</si>
  <si>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</si>
  <si>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</si>
  <si>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</si>
  <si>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</si>
  <si>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</si>
  <si>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</si>
  <si>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</si>
  <si>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</si>
  <si>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</si>
  <si>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</si>
  <si>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</si>
  <si>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</si>
  <si>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</si>
  <si>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</si>
  <si>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</si>
  <si>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</si>
  <si>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</si>
  <si>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</si>
  <si>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</si>
  <si>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</si>
  <si>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</si>
  <si>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</si>
  <si>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</si>
  <si>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</si>
  <si>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</si>
  <si>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</si>
  <si>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</si>
  <si>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</si>
  <si>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</si>
  <si>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</si>
  <si>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</si>
  <si>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</si>
  <si>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</si>
  <si>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</si>
  <si>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</si>
  <si>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</si>
  <si>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</si>
  <si>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</si>
  <si>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</si>
  <si>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</si>
  <si>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</si>
  <si>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</si>
  <si>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</si>
  <si>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</si>
  <si>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</si>
  <si>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</si>
  <si>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</si>
  <si>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</si>
  <si>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</si>
  <si>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</si>
  <si>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</si>
  <si>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</si>
  <si>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</si>
  <si>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</si>
  <si>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</si>
  <si>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</si>
  <si>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</si>
  <si>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</si>
  <si>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</si>
  <si>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</si>
  <si>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</si>
  <si>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</si>
  <si>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</si>
  <si>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</si>
  <si>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</si>
  <si>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</si>
  <si>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</si>
  <si>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</si>
  <si>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</si>
  <si>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</si>
  <si>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</si>
  <si>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</si>
  <si>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</si>
  <si>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</si>
  <si>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</si>
  <si>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</si>
  <si>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</si>
  <si>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</si>
  <si>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</si>
  <si>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</si>
  <si>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</si>
  <si>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</si>
  <si>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</si>
  <si>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</si>
  <si>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</si>
  <si>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</si>
  <si>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</si>
  <si>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</si>
  <si>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</si>
  <si>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</si>
  <si>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</si>
  <si>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</si>
  <si>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</si>
  <si>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</si>
  <si>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</si>
  <si>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</si>
  <si>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</si>
  <si>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</si>
  <si>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</si>
  <si>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</si>
  <si>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</si>
  <si>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</si>
  <si>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</si>
  <si>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</si>
  <si>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</si>
  <si>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</si>
  <si>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</si>
  <si>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</si>
  <si>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</si>
  <si>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</si>
  <si>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</si>
  <si>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</si>
  <si>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</si>
  <si>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</si>
  <si>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</si>
  <si>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</si>
  <si>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</si>
  <si>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</si>
  <si>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</si>
  <si>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</si>
  <si>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</si>
  <si>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</si>
  <si>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</si>
  <si>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</si>
  <si>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</si>
  <si>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</si>
  <si>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</si>
  <si>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</si>
  <si>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</si>
  <si>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</si>
  <si>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</si>
  <si>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</si>
  <si>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</si>
  <si>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</si>
  <si>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</si>
  <si>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</si>
  <si>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</si>
  <si>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</si>
  <si>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</si>
  <si>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</si>
  <si>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</si>
  <si>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</si>
  <si>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</si>
  <si>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</si>
  <si>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</si>
  <si>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</si>
  <si>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</si>
  <si>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</si>
  <si>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</si>
  <si>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</si>
  <si>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</si>
  <si>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</si>
  <si>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</si>
  <si>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</si>
  <si>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</si>
  <si>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</si>
  <si>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</si>
  <si>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</si>
  <si>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</si>
  <si>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</si>
  <si>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</si>
  <si>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</si>
  <si>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</si>
  <si>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</si>
  <si>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</si>
  <si>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</si>
  <si>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</si>
  <si>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</si>
  <si>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</si>
  <si>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</si>
  <si>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</si>
  <si>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</si>
  <si>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</si>
  <si>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</si>
  <si>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</si>
  <si>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</si>
  <si>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</si>
  <si>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</si>
  <si>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</si>
  <si>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</si>
  <si>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</si>
  <si>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</si>
  <si>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</si>
  <si>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</si>
  <si>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</si>
  <si>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</si>
  <si>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</si>
  <si>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</si>
  <si>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</si>
  <si>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</si>
  <si>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</si>
  <si>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</si>
  <si>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</si>
  <si>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</si>
  <si>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</si>
  <si>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</si>
  <si>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</si>
  <si>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</si>
  <si>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</si>
  <si>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</si>
  <si>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</si>
  <si>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</si>
  <si>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</si>
  <si>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</si>
  <si>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</si>
  <si>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</si>
  <si>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</si>
  <si>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</si>
  <si>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</si>
  <si>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</si>
  <si>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</si>
  <si>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</si>
  <si>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</si>
  <si>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</si>
  <si>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</si>
  <si>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</si>
  <si>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</si>
  <si>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</si>
  <si>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</si>
  <si>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</si>
  <si>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</si>
  <si>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</si>
  <si>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</si>
  <si>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</si>
  <si>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</si>
  <si>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</si>
  <si>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</si>
  <si>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</si>
  <si>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</si>
  <si>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</si>
  <si>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</si>
  <si>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</si>
  <si>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</si>
  <si>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</si>
  <si>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</si>
  <si>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</si>
  <si>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</si>
  <si>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</si>
  <si>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</si>
  <si>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</si>
  <si>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</si>
  <si>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</si>
  <si>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</si>
  <si>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</si>
  <si>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</si>
  <si>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</si>
  <si>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</si>
  <si>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</si>
  <si>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</si>
  <si>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</si>
  <si>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</si>
  <si>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</si>
  <si>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</si>
  <si>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</si>
  <si>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</si>
  <si>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</si>
  <si>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</si>
  <si>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</si>
  <si>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</si>
  <si>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</si>
  <si>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</si>
  <si>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</si>
  <si>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</si>
  <si>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</si>
  <si>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</si>
  <si>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</si>
  <si>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</si>
  <si>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</si>
  <si>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</si>
  <si>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</si>
  <si>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</si>
  <si>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</si>
  <si>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</si>
  <si>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</si>
  <si>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</si>
  <si>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</si>
  <si>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</si>
  <si>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</si>
  <si>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</si>
  <si>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</si>
  <si>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</si>
  <si>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</si>
  <si>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</si>
  <si>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</si>
  <si>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</si>
  <si>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</si>
  <si>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</si>
  <si>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</si>
  <si>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</si>
  <si>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</si>
  <si>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</si>
  <si>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</si>
  <si>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</si>
  <si>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</si>
  <si>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</si>
  <si>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</si>
  <si>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</si>
  <si>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</si>
  <si>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</si>
  <si>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</si>
  <si>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</si>
  <si>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</si>
  <si>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</si>
  <si>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</si>
  <si>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</si>
  <si>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</si>
  <si>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</si>
  <si>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</si>
  <si>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</si>
  <si>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</si>
  <si>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</si>
  <si>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</si>
  <si>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</si>
  <si>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</si>
  <si>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</si>
  <si>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</si>
  <si>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</si>
  <si>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</si>
  <si>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</si>
  <si>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</si>
  <si>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</si>
  <si>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</si>
  <si>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</si>
  <si>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</si>
  <si>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</si>
  <si>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</si>
  <si>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</si>
  <si>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</si>
  <si>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</si>
  <si>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</si>
  <si>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</si>
  <si>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</si>
  <si>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</si>
  <si>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</si>
  <si>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</si>
  <si>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</si>
  <si>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</si>
  <si>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</si>
  <si>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</si>
  <si>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</si>
  <si>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</si>
  <si>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</si>
  <si>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</si>
  <si>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</si>
  <si>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</si>
  <si>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</si>
  <si>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</si>
  <si>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</si>
  <si>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</si>
  <si>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</si>
  <si>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</si>
  <si>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</si>
  <si>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</si>
  <si>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</si>
  <si>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</si>
  <si>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</si>
  <si>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</si>
  <si>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</si>
  <si>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</si>
  <si>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</si>
  <si>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</si>
  <si>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</si>
  <si>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</si>
  <si>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</si>
  <si>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</si>
  <si>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</si>
  <si>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</si>
  <si>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</si>
  <si>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</si>
  <si>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</si>
  <si>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</si>
  <si>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</si>
  <si>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</si>
  <si>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</si>
  <si>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</si>
  <si>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</si>
  <si>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</si>
  <si>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</si>
  <si>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</si>
  <si>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</si>
  <si>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</si>
  <si>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</si>
  <si>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</si>
  <si>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</si>
  <si>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</si>
  <si>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</si>
  <si>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</si>
  <si>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</si>
  <si>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</si>
  <si>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</si>
  <si>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</si>
  <si>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</si>
  <si>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</si>
  <si>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</si>
  <si>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</si>
  <si>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</si>
  <si>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</si>
  <si>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</si>
  <si>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</si>
  <si>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</si>
  <si>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</si>
  <si>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</si>
  <si>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</si>
  <si>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</si>
  <si>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</si>
  <si>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</si>
  <si>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</si>
  <si>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</si>
  <si>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</si>
  <si>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</si>
  <si>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</si>
  <si>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</si>
  <si>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</si>
  <si>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</si>
  <si>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</si>
  <si>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</si>
  <si>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</si>
  <si>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</si>
  <si>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</si>
  <si>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</si>
  <si>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</si>
  <si>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</si>
  <si>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</si>
  <si>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</si>
  <si>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</si>
  <si>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</si>
  <si>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</si>
  <si>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</si>
  <si>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</si>
  <si>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</si>
  <si>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</si>
  <si>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</si>
  <si>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</si>
  <si>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</si>
  <si>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</si>
  <si>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</si>
  <si>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</si>
  <si>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</si>
  <si>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</si>
  <si>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</si>
  <si>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</si>
  <si>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</si>
  <si>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</si>
  <si>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</si>
  <si>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</si>
  <si>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</si>
  <si>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</si>
  <si>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</si>
  <si>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</si>
  <si>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</si>
  <si>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</si>
  <si>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</si>
  <si>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</si>
  <si>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</si>
  <si>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</si>
  <si>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</si>
  <si>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</si>
  <si>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</si>
  <si>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</si>
  <si>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</si>
  <si>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</si>
  <si>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</si>
  <si>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</si>
  <si>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</si>
  <si>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</si>
  <si>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</si>
  <si>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</si>
  <si>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</si>
  <si>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</si>
  <si>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</si>
  <si>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</si>
  <si>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</si>
  <si>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</si>
  <si>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</si>
  <si>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</si>
  <si>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</si>
  <si>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</si>
  <si>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</si>
  <si>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</si>
  <si>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</si>
  <si>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</si>
  <si>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</si>
  <si>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</si>
  <si>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</si>
  <si>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</si>
  <si>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</si>
  <si>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</si>
  <si>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</si>
  <si>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</si>
  <si>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</si>
  <si>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</si>
  <si>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</si>
  <si>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</si>
  <si>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</si>
  <si>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</si>
  <si>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</si>
  <si>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</si>
  <si>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</si>
  <si>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</si>
  <si>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</si>
  <si>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</si>
  <si>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</si>
  <si>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</si>
  <si>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</si>
  <si>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</si>
  <si>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</si>
  <si>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</si>
  <si>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</si>
  <si>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</si>
  <si>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</si>
  <si>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</si>
  <si>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</si>
  <si>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</si>
  <si>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</si>
  <si>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</si>
  <si>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</si>
  <si>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</si>
  <si>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</si>
  <si>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</si>
  <si>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</si>
  <si>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</si>
  <si>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</si>
  <si>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</si>
  <si>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</si>
  <si>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</si>
  <si>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</si>
  <si>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</si>
  <si>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</si>
  <si>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</si>
  <si>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</si>
  <si>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</si>
  <si>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</si>
  <si>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</si>
  <si>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</si>
  <si>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</si>
  <si>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</si>
  <si>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</si>
  <si>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</si>
  <si>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</si>
  <si>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</si>
  <si>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</si>
  <si>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</si>
  <si>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</si>
  <si>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</si>
  <si>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</si>
  <si>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</si>
  <si>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</si>
  <si>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</si>
  <si>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</si>
  <si>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</si>
  <si>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</si>
  <si>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</si>
  <si>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</si>
  <si>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</si>
  <si>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</si>
  <si>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</si>
  <si>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</si>
  <si>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</si>
  <si>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</si>
  <si>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</si>
  <si>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</si>
  <si>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</si>
  <si>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</si>
  <si>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</si>
  <si>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</si>
  <si>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</si>
  <si>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</si>
  <si>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</si>
  <si>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</si>
  <si>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</si>
  <si>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</si>
  <si>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</si>
  <si>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</si>
  <si>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</si>
  <si>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</si>
  <si>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</si>
  <si>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</si>
  <si>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</si>
  <si>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</si>
  <si>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</si>
  <si>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</si>
  <si>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</si>
  <si>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</si>
  <si>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</si>
  <si>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</si>
  <si>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</si>
  <si>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</si>
  <si>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</si>
  <si>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</si>
  <si>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</si>
  <si>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</si>
  <si>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</si>
  <si>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</si>
  <si>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</si>
  <si>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</si>
  <si>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</si>
  <si>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</si>
  <si>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</si>
  <si>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</si>
  <si>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</si>
  <si>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</si>
  <si>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</si>
  <si>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</si>
  <si>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</si>
  <si>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</si>
  <si>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</si>
  <si>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</si>
  <si>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</si>
  <si>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</si>
  <si>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</si>
  <si>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</si>
  <si>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</si>
  <si>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</si>
  <si>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</si>
  <si>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</si>
  <si>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</si>
  <si>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</si>
  <si>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</si>
  <si>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</si>
  <si>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</si>
  <si>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</si>
  <si>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</si>
  <si>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</si>
  <si>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</si>
  <si>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وغدیر 154000 تا 1028</t>
  </si>
  <si>
    <t>علی واریز 58.2 و نوسانگیری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</si>
</sst>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topLeftCell="G112" zoomScale="85" zoomScaleNormal="85" workbookViewId="0">
      <selection activeCell="M141" sqref="M141"/>
    </sheetView>
  </sheetViews>
  <sheetFormatPr defaultRowHeight="15"/>
  <cols>
    <col min="1" max="1" width="30.28515625" bestFit="1" customWidth="1"/>
    <col min="2" max="2" width="25.7109375" bestFit="1" customWidth="1"/>
    <col min="3" max="3" width="28.7109375" style="94" customWidth="1"/>
    <col min="4" max="4" width="25.85546875" style="94" customWidth="1"/>
    <col min="5" max="5" width="30.28515625" bestFit="1" customWidth="1"/>
    <col min="6" max="6" width="27.42578125" bestFit="1" customWidth="1"/>
    <col min="7" max="7" width="25.85546875" customWidth="1"/>
    <col min="8" max="8" width="23.140625" customWidth="1"/>
    <col min="9" max="9" width="28.42578125" bestFit="1"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6519</v>
      </c>
      <c r="D1" s="187" t="s">
        <v>5876</v>
      </c>
      <c r="E1" s="207" t="s">
        <v>5538</v>
      </c>
      <c r="F1" s="207" t="s">
        <v>6543</v>
      </c>
      <c r="G1" s="207" t="s">
        <v>6544</v>
      </c>
      <c r="H1" s="207" t="s">
        <v>6545</v>
      </c>
      <c r="I1" s="207" t="s">
        <v>5877</v>
      </c>
      <c r="J1" s="207" t="s">
        <v>5874</v>
      </c>
      <c r="K1" s="207" t="s">
        <v>4844</v>
      </c>
      <c r="L1" s="207" t="s">
        <v>4843</v>
      </c>
      <c r="M1" s="207" t="s">
        <v>4248</v>
      </c>
      <c r="N1" s="54" t="s">
        <v>4924</v>
      </c>
      <c r="Q1" t="s">
        <v>4837</v>
      </c>
      <c r="R1" t="s">
        <v>4840</v>
      </c>
      <c r="S1" t="s">
        <v>4841</v>
      </c>
    </row>
    <row r="2" spans="1:27">
      <c r="A2" s="323" t="s">
        <v>4836</v>
      </c>
      <c r="B2" s="323">
        <v>1114343604</v>
      </c>
      <c r="C2" s="187">
        <v>950</v>
      </c>
      <c r="D2" s="187">
        <f>B2*C2/$Q$2</f>
        <v>14.703144775</v>
      </c>
      <c r="E2" s="323">
        <v>2080</v>
      </c>
      <c r="F2" s="323">
        <f>B2*E2/$Q$2</f>
        <v>32.19214856</v>
      </c>
      <c r="G2" s="323"/>
      <c r="H2" s="323"/>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408</v>
      </c>
      <c r="F4" s="323">
        <f>B4*E4/$Q$2</f>
        <v>4.5333333333333337E-2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23" t="s">
        <v>4836</v>
      </c>
      <c r="B6" s="323">
        <v>1124128522</v>
      </c>
      <c r="C6" s="187">
        <f>C2</f>
        <v>950</v>
      </c>
      <c r="D6" s="187">
        <f t="shared" ref="D6:D14" si="0">B6*C6*$R$3/$Q$2</f>
        <v>10.040811849057048</v>
      </c>
      <c r="E6" s="323">
        <f>E2</f>
        <v>2080</v>
      </c>
      <c r="F6" s="323">
        <f t="shared" ref="F6:F14" si="1">B6*E6*$R$3/$Q$2</f>
        <v>21.984093311619645</v>
      </c>
      <c r="G6" s="323"/>
      <c r="H6" s="323"/>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57.733020389135802</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408</v>
      </c>
      <c r="F8" s="323">
        <f t="shared" si="1"/>
        <v>16.782356917633823</v>
      </c>
      <c r="G8" s="323"/>
      <c r="H8" s="323"/>
      <c r="I8" s="219">
        <f>I4</f>
        <v>380</v>
      </c>
      <c r="J8" s="219">
        <f t="shared" si="2"/>
        <v>15.630626540933465</v>
      </c>
      <c r="K8" s="189"/>
      <c r="L8" s="189">
        <f t="shared" si="3"/>
        <v>0</v>
      </c>
      <c r="M8" s="189">
        <f>M4</f>
        <v>2135</v>
      </c>
      <c r="N8" s="189">
        <f t="shared" si="4"/>
        <v>87.819441223402492</v>
      </c>
      <c r="O8" s="94">
        <f t="shared" si="5"/>
        <v>44.07260014637037</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v>122</v>
      </c>
      <c r="H10" s="323">
        <f>B10*G10*$R$3/$Q$2</f>
        <v>3.0892589406331288</v>
      </c>
      <c r="I10" s="219">
        <v>900</v>
      </c>
      <c r="J10" s="219">
        <f t="shared" si="2"/>
        <v>22.789615135818163</v>
      </c>
      <c r="K10" s="195"/>
      <c r="L10" s="195">
        <f t="shared" si="3"/>
        <v>0</v>
      </c>
      <c r="M10" s="195">
        <v>5030</v>
      </c>
      <c r="N10" s="195">
        <f t="shared" si="4"/>
        <v>127.36862681462817</v>
      </c>
      <c r="O10" s="94">
        <f t="shared" si="5"/>
        <v>40.437584458651855</v>
      </c>
      <c r="P10" s="94">
        <f t="shared" si="6"/>
        <v>59.84842297777778</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6515</v>
      </c>
      <c r="B16" s="323">
        <v>4113600000</v>
      </c>
      <c r="C16" s="187">
        <v>100</v>
      </c>
      <c r="D16" s="187">
        <f>B16*C16/$Q$2</f>
        <v>5.7133333333333329</v>
      </c>
      <c r="E16" s="323">
        <v>165</v>
      </c>
      <c r="F16" s="323">
        <f>B16*E16/$Q$2</f>
        <v>9.4269999999999996</v>
      </c>
      <c r="G16" s="323"/>
      <c r="H16" s="323"/>
      <c r="I16" s="187">
        <v>230</v>
      </c>
      <c r="J16" s="187">
        <f>B16*I16/$Q$2</f>
        <v>13.140666666666666</v>
      </c>
      <c r="K16" s="187"/>
      <c r="L16" s="187"/>
      <c r="M16" s="187">
        <v>1330</v>
      </c>
      <c r="N16" s="187">
        <f>B16*M16/$Q$2</f>
        <v>75.987333333333339</v>
      </c>
      <c r="R16" s="94"/>
      <c r="S16" s="94"/>
      <c r="T16" s="94"/>
      <c r="U16" s="94" t="s">
        <v>25</v>
      </c>
      <c r="V16" s="94"/>
      <c r="W16" s="94"/>
      <c r="X16" s="94"/>
      <c r="Y16" s="94"/>
    </row>
    <row r="17" spans="1:35" ht="30">
      <c r="A17" s="222" t="s">
        <v>6517</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6516</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6540</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282.37486264943135</v>
      </c>
      <c r="G25" s="207"/>
      <c r="H25" s="207">
        <f>SUM(H2:H20)</f>
        <v>6.0966596261665202</v>
      </c>
      <c r="I25" s="207"/>
      <c r="J25" s="207">
        <f>SUM(J2:J22)</f>
        <v>394.42322266142531</v>
      </c>
      <c r="K25" s="207"/>
      <c r="L25" s="207"/>
      <c r="M25" s="207"/>
      <c r="N25" s="207">
        <f>SUM(N2:N23)</f>
        <v>2700.7972298296818</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0.43172437646254935</v>
      </c>
    </row>
    <row r="30" spans="1:35">
      <c r="A30" s="94"/>
      <c r="B30" s="94"/>
      <c r="E30" s="94"/>
      <c r="F30" s="94"/>
      <c r="G30" s="94"/>
      <c r="H30" s="94"/>
      <c r="I30" s="94"/>
      <c r="J30" s="94"/>
      <c r="K30" s="94"/>
      <c r="L30" s="94"/>
      <c r="O30" t="s">
        <v>4914</v>
      </c>
    </row>
    <row r="31" spans="1:35" ht="18.75">
      <c r="A31" s="328" t="s">
        <v>6539</v>
      </c>
      <c r="B31" s="328" t="s">
        <v>4835</v>
      </c>
      <c r="C31" s="328" t="s">
        <v>6533</v>
      </c>
      <c r="D31" s="328" t="s">
        <v>5539</v>
      </c>
      <c r="E31" s="328" t="s">
        <v>6532</v>
      </c>
      <c r="F31" s="328" t="s">
        <v>6542</v>
      </c>
      <c r="H31" s="94"/>
      <c r="I31" s="94"/>
      <c r="J31" s="94"/>
      <c r="K31" s="94"/>
      <c r="L31" s="94"/>
      <c r="O31" s="97" t="s">
        <v>180</v>
      </c>
      <c r="P31" s="97" t="s">
        <v>267</v>
      </c>
      <c r="Q31" s="97" t="s">
        <v>4912</v>
      </c>
      <c r="R31" s="97"/>
      <c r="S31" s="97"/>
      <c r="T31" s="97"/>
      <c r="U31" s="94"/>
      <c r="V31" s="94"/>
      <c r="W31" s="207" t="s">
        <v>6501</v>
      </c>
      <c r="X31" s="207" t="s">
        <v>25</v>
      </c>
      <c r="Y31" s="207"/>
      <c r="Z31" s="207"/>
      <c r="AA31" s="97"/>
      <c r="AB31" s="207" t="s">
        <v>6502</v>
      </c>
      <c r="AC31" s="207"/>
      <c r="AD31" s="207"/>
      <c r="AE31" s="207"/>
      <c r="AF31" s="207"/>
      <c r="AH31" t="s">
        <v>25</v>
      </c>
    </row>
    <row r="32" spans="1:35" ht="18.75">
      <c r="A32" s="326" t="s">
        <v>6531</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6534</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6482</v>
      </c>
      <c r="X33" s="18">
        <v>55000000</v>
      </c>
      <c r="Y33" s="207">
        <v>1</v>
      </c>
      <c r="Z33" s="207">
        <f>Y33+Z34</f>
        <v>12</v>
      </c>
      <c r="AA33" s="18">
        <f>X33*Z33</f>
        <v>660000000</v>
      </c>
      <c r="AB33" s="207" t="s">
        <v>6500</v>
      </c>
      <c r="AC33" s="18">
        <v>197440000</v>
      </c>
      <c r="AD33" s="207">
        <v>11</v>
      </c>
      <c r="AE33" s="18">
        <f>AC33*AD33</f>
        <v>2171840000</v>
      </c>
      <c r="AF33" s="207"/>
    </row>
    <row r="34" spans="1:33" ht="18.75">
      <c r="A34" s="329" t="s">
        <v>6535</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6503</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6536</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6504</v>
      </c>
      <c r="X35" s="18">
        <v>50000000</v>
      </c>
      <c r="Y35" s="207">
        <v>2</v>
      </c>
      <c r="Z35" s="207">
        <f t="shared" si="13"/>
        <v>10</v>
      </c>
      <c r="AA35" s="18">
        <f t="shared" si="14"/>
        <v>500000000</v>
      </c>
      <c r="AB35" s="207"/>
      <c r="AC35" s="18"/>
      <c r="AD35" s="207"/>
      <c r="AE35" s="207"/>
      <c r="AF35" s="207"/>
    </row>
    <row r="36" spans="1:33" ht="18.75">
      <c r="A36" s="331" t="s">
        <v>6537</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6489</v>
      </c>
      <c r="X36" s="18">
        <v>680000</v>
      </c>
      <c r="Y36" s="207">
        <v>1</v>
      </c>
      <c r="Z36" s="207">
        <f t="shared" si="13"/>
        <v>8</v>
      </c>
      <c r="AA36" s="18">
        <f t="shared" si="14"/>
        <v>5440000</v>
      </c>
      <c r="AB36" s="207"/>
      <c r="AC36" s="18"/>
      <c r="AD36" s="207"/>
      <c r="AE36" s="207"/>
      <c r="AF36" s="207"/>
    </row>
    <row r="37" spans="1:33" ht="18.75">
      <c r="A37" s="332" t="s">
        <v>6538</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6505</v>
      </c>
      <c r="X37" s="18">
        <v>41483</v>
      </c>
      <c r="Y37" s="207">
        <v>1</v>
      </c>
      <c r="Z37" s="207">
        <f t="shared" si="13"/>
        <v>7</v>
      </c>
      <c r="AA37" s="18">
        <f t="shared" si="14"/>
        <v>290381</v>
      </c>
      <c r="AB37" s="207"/>
      <c r="AC37" s="18"/>
      <c r="AD37" s="207"/>
      <c r="AE37" s="207"/>
      <c r="AF37" s="207"/>
    </row>
    <row r="38" spans="1:33" ht="18.75">
      <c r="A38" s="333" t="s">
        <v>6541</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6506</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6470</v>
      </c>
      <c r="P134" s="18">
        <v>2317100</v>
      </c>
      <c r="Q134" s="97">
        <v>3</v>
      </c>
      <c r="R134" s="97">
        <f t="shared" si="17"/>
        <v>43</v>
      </c>
      <c r="S134" s="97">
        <f t="shared" si="18"/>
        <v>99635300</v>
      </c>
      <c r="T134" s="97"/>
    </row>
    <row r="135" spans="1:23">
      <c r="O135" s="97" t="s">
        <v>6475</v>
      </c>
      <c r="P135" s="18">
        <v>699000</v>
      </c>
      <c r="Q135" s="97">
        <v>3</v>
      </c>
      <c r="R135" s="97">
        <f t="shared" si="17"/>
        <v>40</v>
      </c>
      <c r="S135" s="97">
        <f t="shared" si="18"/>
        <v>27960000</v>
      </c>
      <c r="T135" s="97"/>
    </row>
    <row r="136" spans="1:23">
      <c r="O136" s="97" t="s">
        <v>6481</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6489</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6490</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6493</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6508</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6518</v>
      </c>
      <c r="P141" s="18">
        <v>3000000</v>
      </c>
      <c r="Q141" s="97">
        <v>1</v>
      </c>
      <c r="R141" s="97">
        <f t="shared" si="17"/>
        <v>12</v>
      </c>
      <c r="S141" s="97">
        <f t="shared" si="18"/>
        <v>36000000</v>
      </c>
      <c r="T141" s="97"/>
    </row>
    <row r="142" spans="1:23">
      <c r="A142" s="9"/>
      <c r="B142" s="18"/>
      <c r="O142" s="97" t="s">
        <v>6520</v>
      </c>
      <c r="P142" s="18">
        <v>255000</v>
      </c>
      <c r="Q142" s="97">
        <v>1</v>
      </c>
      <c r="R142" s="97">
        <f t="shared" si="17"/>
        <v>11</v>
      </c>
      <c r="S142" s="97">
        <f t="shared" si="18"/>
        <v>2805000</v>
      </c>
      <c r="T142" s="97" t="s">
        <v>6521</v>
      </c>
    </row>
    <row r="143" spans="1:23">
      <c r="A143" s="305"/>
      <c r="B143" s="307" t="s">
        <v>5914</v>
      </c>
      <c r="C143" s="18"/>
      <c r="D143" s="18" t="s">
        <v>5915</v>
      </c>
      <c r="E143" s="18"/>
      <c r="F143" s="18" t="s">
        <v>5916</v>
      </c>
      <c r="G143" s="32"/>
      <c r="H143" s="32"/>
      <c r="I143" s="207"/>
      <c r="O143" s="97" t="s">
        <v>6522</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6550</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6465</v>
      </c>
      <c r="B148" s="316" t="s">
        <v>6463</v>
      </c>
      <c r="C148" s="32" t="s">
        <v>6488</v>
      </c>
      <c r="D148" s="239" t="s">
        <v>1100</v>
      </c>
      <c r="E148" s="32" t="s">
        <v>6464</v>
      </c>
      <c r="F148" s="207" t="s">
        <v>5908</v>
      </c>
      <c r="G148" s="207" t="s">
        <v>6487</v>
      </c>
      <c r="H148" s="94"/>
      <c r="I148" s="94"/>
      <c r="J148" s="94"/>
      <c r="M148" t="s">
        <v>25</v>
      </c>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P152" s="94"/>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abSelected="1" topLeftCell="J81" zoomScale="80" zoomScaleNormal="8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5099257282.2258711</v>
      </c>
      <c r="M21" s="166" t="s">
        <v>4275</v>
      </c>
      <c r="N21" s="111">
        <f>O21*P21</f>
        <v>2838028743</v>
      </c>
      <c r="O21" s="97">
        <v>2606087</v>
      </c>
      <c r="P21" s="183">
        <f>P50</f>
        <v>1089</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489663</v>
      </c>
      <c r="O22" s="97">
        <v>369</v>
      </c>
      <c r="P22" s="183">
        <f>P53</f>
        <v>1327</v>
      </c>
      <c r="Q22" s="167">
        <v>1614398</v>
      </c>
      <c r="R22" s="166" t="s">
        <v>4397</v>
      </c>
      <c r="S22" s="166">
        <f>S21-3</f>
        <v>939</v>
      </c>
      <c r="T22" s="19" t="s">
        <v>5619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62829360</v>
      </c>
      <c r="O23" s="97">
        <v>31732</v>
      </c>
      <c r="P23" s="183">
        <f>P51</f>
        <v>1980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4964254207.2258711</v>
      </c>
      <c r="G24" s="93">
        <f t="shared" si="0"/>
        <v>-4683947861.8439322</v>
      </c>
      <c r="H24" s="11"/>
      <c r="I24" s="94"/>
      <c r="J24" s="94"/>
      <c r="K24" s="207"/>
      <c r="L24" s="115"/>
      <c r="M24" s="207" t="s">
        <v>4357</v>
      </c>
      <c r="N24" s="111">
        <f>O24*P24</f>
        <v>36874100</v>
      </c>
      <c r="O24" s="97">
        <v>2455</v>
      </c>
      <c r="P24" s="183">
        <f>P48</f>
        <v>15020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15020</v>
      </c>
      <c r="Q30" s="167">
        <v>7046042.5001907032</v>
      </c>
      <c r="R30" s="207" t="s">
        <v>4874</v>
      </c>
      <c r="S30" s="194">
        <f>S29-5</f>
        <v>769</v>
      </c>
      <c r="T30" s="207" t="s">
        <v>5584</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336921354</v>
      </c>
      <c r="O31" s="67">
        <v>309386</v>
      </c>
      <c r="P31" s="97">
        <f>P50</f>
        <v>1089</v>
      </c>
      <c r="Q31" s="167">
        <v>5368238</v>
      </c>
      <c r="R31" s="207" t="s">
        <v>5591</v>
      </c>
      <c r="S31" s="194">
        <f>S30-465</f>
        <v>304</v>
      </c>
      <c r="T31" s="207" t="s">
        <v>5592</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301</v>
      </c>
      <c r="T32" s="207" t="s">
        <v>5594</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300</v>
      </c>
      <c r="T33" s="207" t="s">
        <v>5596</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6552</v>
      </c>
      <c r="L34" s="115">
        <v>-35500000</v>
      </c>
      <c r="M34" s="166" t="s">
        <v>4131</v>
      </c>
      <c r="N34" s="111">
        <f>-W165</f>
        <v>-5099257282.2258711</v>
      </c>
      <c r="O34">
        <f>O23-1896</f>
        <v>29836</v>
      </c>
      <c r="P34" t="s">
        <v>25</v>
      </c>
      <c r="Q34" s="167">
        <v>47880291</v>
      </c>
      <c r="R34" s="207" t="s">
        <v>5602</v>
      </c>
      <c r="S34" s="194">
        <f>S33-8</f>
        <v>292</v>
      </c>
      <c r="T34" s="207" t="s">
        <v>5606</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291</v>
      </c>
      <c r="T35" s="207" t="s">
        <v>5609</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290</v>
      </c>
      <c r="T36" s="207" t="s">
        <v>5608</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5610</v>
      </c>
      <c r="S37" s="194">
        <f>S36-3</f>
        <v>287</v>
      </c>
      <c r="T37" s="207" t="s">
        <v>5614</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285</v>
      </c>
      <c r="T38" s="207" t="s">
        <v>5613</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284</v>
      </c>
      <c r="T39" s="207" t="s">
        <v>5620</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6553</v>
      </c>
      <c r="N40" s="111">
        <v>-34200000</v>
      </c>
      <c r="O40" s="279"/>
      <c r="P40" s="94" t="s">
        <v>25</v>
      </c>
      <c r="Q40" s="167">
        <v>563902380</v>
      </c>
      <c r="R40" s="207" t="s">
        <v>5622</v>
      </c>
      <c r="S40" s="194">
        <f>S39-5</f>
        <v>279</v>
      </c>
      <c r="T40" s="207" t="s">
        <v>5624</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6469</v>
      </c>
      <c r="L41" s="115">
        <f>-13649*P50</f>
        <v>-14863761</v>
      </c>
      <c r="M41" s="166"/>
      <c r="N41" s="111"/>
      <c r="O41" s="112"/>
      <c r="P41" s="94"/>
      <c r="Q41" s="167">
        <v>814638349</v>
      </c>
      <c r="R41" s="207" t="s">
        <v>5629</v>
      </c>
      <c r="S41" s="194">
        <f>S40-8</f>
        <v>271</v>
      </c>
      <c r="T41" s="207" t="s">
        <v>5630</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793</v>
      </c>
      <c r="O42" s="112"/>
      <c r="P42" t="s">
        <v>25</v>
      </c>
      <c r="Q42" s="167">
        <v>2537951</v>
      </c>
      <c r="R42" s="207" t="s">
        <v>5644</v>
      </c>
      <c r="S42" s="194">
        <f>S41-5</f>
        <v>266</v>
      </c>
      <c r="T42" s="207" t="s">
        <v>5645</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264</v>
      </c>
      <c r="T43" s="207" t="s">
        <v>5651</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6507</v>
      </c>
      <c r="N44" s="115">
        <f>O44*P44</f>
        <v>39618909</v>
      </c>
      <c r="O44" s="67">
        <v>36381</v>
      </c>
      <c r="P44" s="67">
        <f>P50</f>
        <v>1089</v>
      </c>
      <c r="Q44" s="167"/>
      <c r="R44" s="207" t="s">
        <v>5654</v>
      </c>
      <c r="S44" s="194">
        <f>S43-1</f>
        <v>263</v>
      </c>
      <c r="T44" s="207" t="s">
        <v>5790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0</v>
      </c>
      <c r="O45" s="67">
        <v>0</v>
      </c>
      <c r="P45" s="67">
        <v>410</v>
      </c>
      <c r="Q45" s="167">
        <v>67414766</v>
      </c>
      <c r="R45" s="207" t="s">
        <v>5654</v>
      </c>
      <c r="S45" s="194">
        <f>S44</f>
        <v>263</v>
      </c>
      <c r="T45" s="207" t="s">
        <v>5661</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6491</v>
      </c>
      <c r="N46" s="115">
        <f>O46*P46</f>
        <v>0</v>
      </c>
      <c r="O46" s="67">
        <v>0</v>
      </c>
      <c r="P46" s="67">
        <v>265</v>
      </c>
      <c r="Q46" s="167">
        <v>23400057</v>
      </c>
      <c r="R46" s="207" t="s">
        <v>5658</v>
      </c>
      <c r="S46" s="194">
        <f>S45-1</f>
        <v>262</v>
      </c>
      <c r="T46" s="207" t="s">
        <v>5662</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258</v>
      </c>
      <c r="T47" s="207" t="s">
        <v>5665</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21780000</v>
      </c>
      <c r="M48" s="19" t="s">
        <v>4357</v>
      </c>
      <c r="N48" s="115">
        <f t="shared" si="26"/>
        <v>6864140</v>
      </c>
      <c r="O48" s="67">
        <v>457</v>
      </c>
      <c r="P48" s="67">
        <v>15020</v>
      </c>
      <c r="Q48" s="167"/>
      <c r="R48" s="207" t="s">
        <v>5666</v>
      </c>
      <c r="S48" s="194">
        <f>S47-1</f>
        <v>257</v>
      </c>
      <c r="T48" s="207" t="s">
        <v>5667</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6554</v>
      </c>
      <c r="L49" s="115">
        <v>-60000000</v>
      </c>
      <c r="M49" s="19" t="s">
        <v>4361</v>
      </c>
      <c r="N49" s="115">
        <f t="shared" si="26"/>
        <v>0</v>
      </c>
      <c r="O49" s="67">
        <v>0</v>
      </c>
      <c r="P49" s="67">
        <v>21500</v>
      </c>
      <c r="Q49" s="167"/>
      <c r="R49" s="207" t="s">
        <v>5669</v>
      </c>
      <c r="S49" s="194">
        <f>S48-2</f>
        <v>255</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4961725758</v>
      </c>
      <c r="O50" s="97">
        <v>4556222</v>
      </c>
      <c r="P50" s="97">
        <v>1089</v>
      </c>
      <c r="Q50" s="167"/>
      <c r="R50" s="207" t="s">
        <v>5685</v>
      </c>
      <c r="S50" s="194">
        <f>S49-19</f>
        <v>236</v>
      </c>
      <c r="T50" s="207" t="s">
        <v>5686</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6528</v>
      </c>
      <c r="L51" s="115">
        <v>3500000</v>
      </c>
      <c r="M51" s="19" t="s">
        <v>5917</v>
      </c>
      <c r="N51" s="111">
        <f>O51*P51</f>
        <v>37606140</v>
      </c>
      <c r="O51" s="97">
        <v>18993</v>
      </c>
      <c r="P51" s="97">
        <v>1980</v>
      </c>
      <c r="Q51" s="167"/>
      <c r="R51" s="207" t="s">
        <v>5687</v>
      </c>
      <c r="S51" s="194">
        <f>S50-1</f>
        <v>235</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234</v>
      </c>
      <c r="T52" s="207" t="s">
        <v>5690</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150119529</v>
      </c>
      <c r="O53" s="97">
        <v>113127</v>
      </c>
      <c r="P53" s="97">
        <v>1327</v>
      </c>
      <c r="Q53" s="167"/>
      <c r="R53" s="207" t="s">
        <v>5691</v>
      </c>
      <c r="S53" s="194">
        <f>S52-3</f>
        <v>231</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1030000</v>
      </c>
      <c r="Q54" s="167"/>
      <c r="R54" s="207" t="s">
        <v>5694</v>
      </c>
      <c r="S54" s="194">
        <f>S53-2</f>
        <v>229</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222</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202</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180</v>
      </c>
      <c r="T57" s="207" t="s">
        <v>5763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179</v>
      </c>
      <c r="T58" s="207" t="s">
        <v>5769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175</v>
      </c>
      <c r="T59" s="207" t="s">
        <v>5773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171</v>
      </c>
      <c r="T60" s="207" t="s">
        <v>5783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168</v>
      </c>
      <c r="T61" s="207" t="s">
        <v>5782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-94463391.71872215</v>
      </c>
      <c r="P62" t="s">
        <v>25</v>
      </c>
      <c r="Q62" s="167"/>
      <c r="R62" s="207" t="s">
        <v>5785</v>
      </c>
      <c r="S62" s="194">
        <f>S61-2</f>
        <v>166</v>
      </c>
      <c r="T62" s="207" t="s">
        <v>5921</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5828</v>
      </c>
      <c r="S63" s="194">
        <f>S62-64</f>
        <v>102</v>
      </c>
      <c r="T63" s="207" t="s">
        <v>5829</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5883</v>
      </c>
      <c r="S64" s="194">
        <f>S63-29</f>
        <v>73</v>
      </c>
      <c r="T64" s="207" t="s">
        <v>5885</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3286008818.0554066</v>
      </c>
      <c r="P65" t="s">
        <v>25</v>
      </c>
      <c r="Q65" s="167"/>
      <c r="R65" s="207" t="s">
        <v>5901</v>
      </c>
      <c r="S65" s="194">
        <f>S64-3</f>
        <v>70</v>
      </c>
      <c r="T65" s="207" t="s">
        <v>5903</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4964254207.2258711</v>
      </c>
      <c r="M66" s="166"/>
      <c r="N66" s="111">
        <f>N16+N17+N35</f>
        <v>641053</v>
      </c>
      <c r="P66" t="s">
        <v>25</v>
      </c>
      <c r="Q66" s="167"/>
      <c r="R66" s="207" t="s">
        <v>5918</v>
      </c>
      <c r="S66" s="194">
        <f>S65-3</f>
        <v>67</v>
      </c>
      <c r="T66" s="207" t="s">
        <v>5920</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6453</v>
      </c>
      <c r="S67" s="194">
        <f>S66-5</f>
        <v>62</v>
      </c>
      <c r="T67" s="207" t="s">
        <v>6454</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5064254207.2258711</v>
      </c>
      <c r="O68" s="94"/>
      <c r="P68" s="120" t="s">
        <v>25</v>
      </c>
      <c r="Q68" s="167"/>
      <c r="R68" s="207" t="s">
        <v>6456</v>
      </c>
      <c r="S68" s="194">
        <f>S67-1</f>
        <v>61</v>
      </c>
      <c r="T68" s="207" t="s">
        <v>6472</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6456</v>
      </c>
      <c r="S69" s="194">
        <f>S68</f>
        <v>61</v>
      </c>
      <c r="T69" s="207" t="s">
        <v>6458</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6461</v>
      </c>
      <c r="S70" s="194">
        <f>S69-1</f>
        <v>60</v>
      </c>
      <c r="T70" s="207" t="s">
        <v>6467</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6456</v>
      </c>
      <c r="P71" s="113"/>
      <c r="Q71" s="167"/>
      <c r="R71" s="207" t="s">
        <v>6470</v>
      </c>
      <c r="S71" s="194">
        <f>S70-1</f>
        <v>59</v>
      </c>
      <c r="T71" s="207" t="s">
        <v>6473</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6459</v>
      </c>
      <c r="Q72" s="167"/>
      <c r="R72" s="207" t="s">
        <v>6470</v>
      </c>
      <c r="S72" s="194">
        <f>S71</f>
        <v>59</v>
      </c>
      <c r="T72" s="207" t="s">
        <v>6474</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6460</v>
      </c>
      <c r="Q73" s="167"/>
      <c r="R73" s="207" t="s">
        <v>6475</v>
      </c>
      <c r="S73" s="194">
        <f>S72-3</f>
        <v>56</v>
      </c>
      <c r="T73" s="207" t="s">
        <v>6476</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6466</v>
      </c>
      <c r="Q74" s="167"/>
      <c r="R74" s="207" t="s">
        <v>6477</v>
      </c>
      <c r="S74" s="194">
        <f>S73-1</f>
        <v>55</v>
      </c>
      <c r="T74" s="207" t="s">
        <v>6478</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6479</v>
      </c>
      <c r="S75" s="194">
        <f>S74-1</f>
        <v>54</v>
      </c>
      <c r="T75" s="207" t="s">
        <v>6480</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6482</v>
      </c>
      <c r="S76" s="194">
        <f>S75-2</f>
        <v>52</v>
      </c>
      <c r="T76" s="207" t="s">
        <v>6483</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6482</v>
      </c>
      <c r="S77" s="194">
        <f>S76</f>
        <v>52</v>
      </c>
      <c r="T77" s="207" t="s">
        <v>6567</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t="s">
        <v>6568</v>
      </c>
      <c r="S78" s="194">
        <f>S77-49</f>
        <v>3</v>
      </c>
      <c r="T78" s="207" t="s">
        <v>6569</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N82" t="s">
        <v>5722</v>
      </c>
      <c r="Q82" s="167">
        <f>SUM(N21:N24)-SUM(Q20:Q81)</f>
        <v>1133625048.6758094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761</v>
      </c>
      <c r="T95" s="187" t="s">
        <v>5618</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263</v>
      </c>
      <c r="T96" s="187" t="s">
        <v>5655</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5762</v>
      </c>
      <c r="S97" s="194">
        <f>S96-83</f>
        <v>180</v>
      </c>
      <c r="T97" s="187" t="s">
        <v>5764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5772</v>
      </c>
      <c r="S98" s="194">
        <f>S97-5</f>
        <v>175</v>
      </c>
      <c r="T98" s="187" t="s">
        <v>5774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5779</v>
      </c>
      <c r="S99" s="194">
        <f>S98-4</f>
        <v>171</v>
      </c>
      <c r="T99" s="187" t="s">
        <v>5780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5781</v>
      </c>
      <c r="S100" s="194">
        <f>S99-3</f>
        <v>168</v>
      </c>
      <c r="T100" s="187" t="s">
        <v>5784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5787</v>
      </c>
      <c r="S101" s="194">
        <f>S100-1</f>
        <v>167</v>
      </c>
      <c r="T101" s="187" t="s">
        <v>5788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5785</v>
      </c>
      <c r="S102" s="194">
        <f>S101-1</f>
        <v>166</v>
      </c>
      <c r="T102" s="187" t="s">
        <v>5789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5851</v>
      </c>
      <c r="S103" s="194">
        <f>S102-65</f>
        <v>101</v>
      </c>
      <c r="T103" s="187" t="s">
        <v>5852</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6461</v>
      </c>
      <c r="S104" s="194">
        <f>S103-41</f>
        <v>60</v>
      </c>
      <c r="T104" s="187" t="s">
        <v>6468</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9458.2185491276396</v>
      </c>
      <c r="G107" s="196">
        <f>P50</f>
        <v>1089</v>
      </c>
      <c r="H107" s="196" t="s">
        <v>4704</v>
      </c>
      <c r="I107" s="196" t="s">
        <v>5297</v>
      </c>
      <c r="J107" s="208" t="s">
        <v>4219</v>
      </c>
      <c r="K107" s="196">
        <v>210</v>
      </c>
      <c r="L107" s="209">
        <f t="shared" ref="L107:L112" si="40">K107*$L$115</f>
        <v>2163000000</v>
      </c>
      <c r="M107" s="209">
        <f>N21+N31+N50+N44</f>
        <v>8176294764</v>
      </c>
      <c r="N107" s="181">
        <f t="shared" ref="N107:N112" si="41">L107-M107</f>
        <v>-6013294764</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21500</v>
      </c>
      <c r="H108" s="207" t="s">
        <v>4863</v>
      </c>
      <c r="I108" s="207" t="s">
        <v>5298</v>
      </c>
      <c r="J108" s="32" t="s">
        <v>4361</v>
      </c>
      <c r="K108" s="207">
        <v>33</v>
      </c>
      <c r="L108" s="1">
        <f t="shared" si="40"/>
        <v>339900000</v>
      </c>
      <c r="M108" s="1">
        <f>N49+N28+N22</f>
        <v>33097703</v>
      </c>
      <c r="N108" s="111">
        <f t="shared" si="41"/>
        <v>306802297</v>
      </c>
      <c r="P108" s="94"/>
      <c r="Q108" s="111">
        <f>SUM(N28:N31)-SUM(Q87:Q107)</f>
        <v>355960776.7462979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15020</v>
      </c>
      <c r="H109" s="196" t="s">
        <v>4977</v>
      </c>
      <c r="I109" s="196" t="s">
        <v>5299</v>
      </c>
      <c r="J109" s="208" t="s">
        <v>4357</v>
      </c>
      <c r="K109" s="196">
        <v>0</v>
      </c>
      <c r="L109" s="209">
        <f t="shared" si="40"/>
        <v>0</v>
      </c>
      <c r="M109" s="209">
        <f>N48+N24</f>
        <v>43738240</v>
      </c>
      <c r="N109" s="181">
        <f t="shared" si="41"/>
        <v>-43738240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2402</v>
      </c>
      <c r="N110" s="186">
        <f t="shared" si="41"/>
        <v>-2402</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10300000</v>
      </c>
      <c r="M111" s="209">
        <v>0</v>
      </c>
      <c r="N111" s="181">
        <f t="shared" si="41"/>
        <v>10300000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555</v>
      </c>
      <c r="L112" s="240">
        <f t="shared" si="40"/>
        <v>5716500000</v>
      </c>
      <c r="M112" s="240">
        <v>0</v>
      </c>
      <c r="N112" s="84">
        <f t="shared" si="41"/>
        <v>5716500000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799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10300000</v>
      </c>
      <c r="M115" s="1">
        <f>K115*L115</f>
        <v>0</v>
      </c>
      <c r="N115" s="111">
        <f>SUM(N107:N113)-M115</f>
        <v>-3433109</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5585</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306</v>
      </c>
      <c r="T117" s="207" t="s">
        <v>5597</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301</v>
      </c>
      <c r="T118" s="207" t="s">
        <v>5646</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265</v>
      </c>
      <c r="T119" s="207" t="s">
        <v>5649</v>
      </c>
      <c r="U119" s="207">
        <v>1715</v>
      </c>
      <c r="V119" s="97">
        <f t="shared" si="42"/>
        <v>2089.706356164384</v>
      </c>
      <c r="W119" s="32">
        <f t="shared" ref="W119" si="47">V119*(1+$W$19/100)</f>
        <v>2131.5004832876716</v>
      </c>
      <c r="X119" s="32">
        <f t="shared" ref="X119" si="48">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264</v>
      </c>
      <c r="T120" s="207" t="s">
        <v>5652</v>
      </c>
      <c r="U120" s="207">
        <v>1631</v>
      </c>
      <c r="V120" s="97">
        <f t="shared" si="42"/>
        <v>1986.1022136986303</v>
      </c>
      <c r="W120" s="32">
        <f t="shared" ref="W120:W121" si="49">V120*(1+$W$19/100)</f>
        <v>2025.8242579726029</v>
      </c>
      <c r="X120" s="32">
        <f t="shared" ref="X120:X121" si="50">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263</v>
      </c>
      <c r="T121" s="207" t="s">
        <v>5673</v>
      </c>
      <c r="U121" s="207">
        <v>1567.4</v>
      </c>
      <c r="V121" s="97">
        <f t="shared" si="42"/>
        <v>1907.4527978082197</v>
      </c>
      <c r="W121" s="32">
        <f t="shared" si="49"/>
        <v>1945.601853764384</v>
      </c>
      <c r="X121" s="32">
        <f t="shared" si="50"/>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250</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249</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248</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1089</v>
      </c>
      <c r="H125" s="97" t="s">
        <v>4219</v>
      </c>
      <c r="I125" s="97">
        <v>51250</v>
      </c>
      <c r="J125" s="1">
        <f>I125*G125</f>
        <v>55811250</v>
      </c>
      <c r="K125" s="292" t="s">
        <v>4374</v>
      </c>
      <c r="L125" s="167">
        <v>1100000</v>
      </c>
      <c r="M125" s="167">
        <v>3191000</v>
      </c>
      <c r="N125" s="166">
        <f t="shared" si="51"/>
        <v>190.09090909090909</v>
      </c>
      <c r="Q125" s="167"/>
      <c r="R125" s="207" t="s">
        <v>5735</v>
      </c>
      <c r="S125" s="207">
        <f>S124-53</f>
        <v>195</v>
      </c>
      <c r="T125" s="207" t="s">
        <v>5736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15020</v>
      </c>
      <c r="H126" s="97" t="s">
        <v>4357</v>
      </c>
      <c r="I126" s="97">
        <v>6709</v>
      </c>
      <c r="J126" s="1">
        <f>I126*G126</f>
        <v>100769180</v>
      </c>
      <c r="K126" s="292" t="s">
        <v>4482</v>
      </c>
      <c r="L126" s="167">
        <v>1100000</v>
      </c>
      <c r="M126" s="167">
        <v>5623000</v>
      </c>
      <c r="N126" s="166">
        <f t="shared" si="51"/>
        <v>411.18181818181819</v>
      </c>
      <c r="Q126" s="167"/>
      <c r="R126" s="207" t="s">
        <v>5737</v>
      </c>
      <c r="S126" s="207">
        <f>S125-1</f>
        <v>194</v>
      </c>
      <c r="T126" s="207" t="s">
        <v>5738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193</v>
      </c>
      <c r="T127" s="207" t="s">
        <v>5740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192</v>
      </c>
      <c r="T128" s="207" t="s">
        <v>5747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26580430</v>
      </c>
      <c r="J129" s="1">
        <v>0</v>
      </c>
      <c r="K129" s="245" t="s">
        <v>1070</v>
      </c>
      <c r="L129" s="167">
        <v>1100000</v>
      </c>
      <c r="M129" s="167">
        <v>3400000</v>
      </c>
      <c r="N129" s="166">
        <f t="shared" si="51"/>
        <v>209.09090909090909</v>
      </c>
      <c r="Q129" s="167"/>
      <c r="R129" s="207" t="s">
        <v>5751</v>
      </c>
      <c r="S129" s="207">
        <f>S128-4</f>
        <v>188</v>
      </c>
      <c r="T129" s="207" t="s">
        <v>5752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5753</v>
      </c>
      <c r="S130" s="207">
        <f>S129-1</f>
        <v>187</v>
      </c>
      <c r="T130" s="207" t="s">
        <v>5754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5755</v>
      </c>
      <c r="S131" s="207">
        <f>S130-2</f>
        <v>185</v>
      </c>
      <c r="T131" s="207" t="s">
        <v>5756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5760</v>
      </c>
      <c r="S132" s="207">
        <f>S131-4</f>
        <v>181</v>
      </c>
      <c r="T132" s="207" t="s">
        <v>5761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5762</v>
      </c>
      <c r="S133" s="207">
        <f>S132-1</f>
        <v>180</v>
      </c>
      <c r="T133" s="207" t="s">
        <v>6548</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5804</v>
      </c>
      <c r="S134" s="207">
        <f>S133-56</f>
        <v>124</v>
      </c>
      <c r="T134" s="207" t="s">
        <v>5808</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5809</v>
      </c>
      <c r="S135" s="207">
        <f>S134-8</f>
        <v>116</v>
      </c>
      <c r="T135" s="207" t="s">
        <v>5826</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5827</v>
      </c>
      <c r="S136" s="207">
        <f>S135-13</f>
        <v>103</v>
      </c>
      <c r="T136" s="207" t="s">
        <v>6525</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6490</v>
      </c>
      <c r="I137" s="210" t="s">
        <v>5704</v>
      </c>
      <c r="J137" s="1">
        <v>150000000</v>
      </c>
      <c r="Q137" s="167"/>
      <c r="R137" s="207" t="s">
        <v>5880</v>
      </c>
      <c r="S137" s="207">
        <f>S136-27</f>
        <v>76</v>
      </c>
      <c r="T137" s="207" t="s">
        <v>5881</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1">
        <f>P50</f>
        <v>1089</v>
      </c>
      <c r="H138" s="207" t="s">
        <v>4219</v>
      </c>
      <c r="I138" s="207">
        <v>20000</v>
      </c>
      <c r="J138" s="1">
        <f>G138*I138</f>
        <v>21780000</v>
      </c>
      <c r="Q138" s="167"/>
      <c r="R138" s="207" t="s">
        <v>5918</v>
      </c>
      <c r="S138" s="207">
        <f>S137-9</f>
        <v>67</v>
      </c>
      <c r="T138" s="207" t="s">
        <v>5919</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6456</v>
      </c>
      <c r="S139" s="207">
        <f>S138-6</f>
        <v>61</v>
      </c>
      <c r="T139" s="207" t="s">
        <v>6457</v>
      </c>
      <c r="U139" s="207">
        <v>1973</v>
      </c>
      <c r="V139" s="97">
        <f t="shared" si="42"/>
        <v>2095.3151890410959</v>
      </c>
      <c r="W139" s="32">
        <f t="shared" ref="W139:W155" si="59">V139*(1+$W$19/100)</f>
        <v>2137.2214928219178</v>
      </c>
      <c r="X139" s="32">
        <f t="shared" ref="X139:X155"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6461</v>
      </c>
      <c r="S140" s="207">
        <f>S139-1</f>
        <v>60</v>
      </c>
      <c r="T140" s="207" t="s">
        <v>6509</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-128220000</v>
      </c>
      <c r="J141" s="1">
        <f>SUM(J138:J139)</f>
        <v>21780000</v>
      </c>
      <c r="K141" t="s">
        <v>25</v>
      </c>
      <c r="Q141" s="167"/>
      <c r="R141" s="207" t="s">
        <v>6470</v>
      </c>
      <c r="S141" s="207">
        <f>S140-1</f>
        <v>59</v>
      </c>
      <c r="T141" s="207" t="s">
        <v>6471</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6526</v>
      </c>
      <c r="S142" s="207">
        <f>S141-34</f>
        <v>25</v>
      </c>
      <c r="T142" s="207" t="s">
        <v>6527</v>
      </c>
      <c r="U142" s="207">
        <v>1711</v>
      </c>
      <c r="V142" s="97">
        <f t="shared" ref="V142:V150"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J143" s="94"/>
      <c r="P143" t="s">
        <v>25</v>
      </c>
      <c r="Q143" s="167"/>
      <c r="R143" s="207" t="s">
        <v>6529</v>
      </c>
      <c r="S143" s="207">
        <f>S142-1</f>
        <v>24</v>
      </c>
      <c r="T143" s="207" t="s">
        <v>6530</v>
      </c>
      <c r="U143" s="207">
        <v>1711</v>
      </c>
      <c r="V143" s="97">
        <f t="shared" si="61"/>
        <v>1768.5083506849314</v>
      </c>
      <c r="W143" s="32">
        <f t="shared" si="59"/>
        <v>1803.87851769863</v>
      </c>
      <c r="X143" s="32">
        <f t="shared" si="60"/>
        <v>1839.2486847123287</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6546</v>
      </c>
      <c r="S144" s="207">
        <f>S143-4</f>
        <v>20</v>
      </c>
      <c r="T144" s="207" t="s">
        <v>6560</v>
      </c>
      <c r="U144" s="207">
        <v>1230.5</v>
      </c>
      <c r="V144" s="97">
        <f t="shared" si="61"/>
        <v>1268.0825041095893</v>
      </c>
      <c r="W144" s="32">
        <f t="shared" si="59"/>
        <v>1293.4441541917811</v>
      </c>
      <c r="X144" s="32">
        <f t="shared" si="60"/>
        <v>1318.8058042739729</v>
      </c>
      <c r="Y144" s="94"/>
      <c r="Z144" s="94">
        <v>434</v>
      </c>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6547</v>
      </c>
      <c r="S145" s="207">
        <f>S144-1</f>
        <v>19</v>
      </c>
      <c r="T145" s="207" t="s">
        <v>6549</v>
      </c>
      <c r="U145" s="207">
        <v>1064</v>
      </c>
      <c r="V145" s="97">
        <f t="shared" si="61"/>
        <v>1095.6809643835616</v>
      </c>
      <c r="W145" s="32">
        <f t="shared" si="59"/>
        <v>1117.5945836712328</v>
      </c>
      <c r="X145" s="32">
        <f t="shared" si="60"/>
        <v>1139.5082029589041</v>
      </c>
      <c r="Y145" s="94">
        <v>700</v>
      </c>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7491695</v>
      </c>
      <c r="H146" s="32" t="s">
        <v>5456</v>
      </c>
      <c r="I146" s="32">
        <f>O22+O28+O49+I139+O44</f>
        <v>63610</v>
      </c>
      <c r="J146" s="112"/>
      <c r="K146" s="94"/>
      <c r="L146" s="94"/>
      <c r="M146" s="94"/>
      <c r="Q146" s="167"/>
      <c r="R146" s="207" t="s">
        <v>6555</v>
      </c>
      <c r="S146" s="207">
        <f>S145-7</f>
        <v>12</v>
      </c>
      <c r="T146" s="207" t="s">
        <v>6556</v>
      </c>
      <c r="U146" s="207">
        <v>1060</v>
      </c>
      <c r="V146" s="97">
        <f t="shared" si="61"/>
        <v>1085.8698082191784</v>
      </c>
      <c r="W146" s="32">
        <f t="shared" si="59"/>
        <v>1107.587204383562</v>
      </c>
      <c r="X146" s="32">
        <f t="shared" si="60"/>
        <v>1129.3046005479455</v>
      </c>
      <c r="Y146" s="94">
        <v>13405</v>
      </c>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106937.42148760331</v>
      </c>
      <c r="H147" s="280" t="s">
        <v>5457</v>
      </c>
      <c r="I147" s="32">
        <f>(J138+N30+N50+N48+N31+N24+N21)/P49</f>
        <v>381497.39976744185</v>
      </c>
      <c r="J147" s="112"/>
      <c r="K147" s="94"/>
      <c r="L147" s="94" t="s">
        <v>25</v>
      </c>
      <c r="M147" s="94"/>
      <c r="P147" s="112"/>
      <c r="Q147" s="167"/>
      <c r="R147" s="207" t="s">
        <v>6558</v>
      </c>
      <c r="S147" s="207">
        <f>S146-1</f>
        <v>11</v>
      </c>
      <c r="T147" s="207" t="s">
        <v>6559</v>
      </c>
      <c r="U147" s="207">
        <v>1052.8</v>
      </c>
      <c r="V147" s="97">
        <f t="shared" si="61"/>
        <v>1077.6864613698631</v>
      </c>
      <c r="W147" s="32">
        <f t="shared" si="59"/>
        <v>1099.2401905972604</v>
      </c>
      <c r="X147" s="32">
        <f t="shared" si="60"/>
        <v>1120.7939198246577</v>
      </c>
      <c r="Y147" s="94">
        <v>392920</v>
      </c>
      <c r="Z147" s="94"/>
      <c r="AA147" s="94"/>
      <c r="AH147" s="20">
        <v>127</v>
      </c>
      <c r="AI147" s="115" t="s">
        <v>4758</v>
      </c>
      <c r="AJ147" s="115">
        <v>70000</v>
      </c>
      <c r="AK147" s="20">
        <v>9</v>
      </c>
      <c r="AL147" s="20">
        <f t="shared" si="58"/>
        <v>732</v>
      </c>
      <c r="AM147" s="115">
        <f>AJ147*AL147</f>
        <v>51240000</v>
      </c>
      <c r="AN147" s="20"/>
    </row>
    <row r="148" spans="5:44">
      <c r="G148" s="32">
        <f>G146+G147</f>
        <v>7598632.4214876033</v>
      </c>
      <c r="H148" s="32" t="s">
        <v>5458</v>
      </c>
      <c r="I148" s="32">
        <f>I146+I147</f>
        <v>445107.39976744185</v>
      </c>
      <c r="J148" s="112"/>
      <c r="K148" s="94"/>
      <c r="L148" s="94"/>
      <c r="N148" s="94"/>
      <c r="O148" s="94"/>
      <c r="Q148" s="167"/>
      <c r="R148" s="207" t="s">
        <v>6562</v>
      </c>
      <c r="S148" s="207">
        <f>S147-1</f>
        <v>10</v>
      </c>
      <c r="T148" s="207" t="s">
        <v>6563</v>
      </c>
      <c r="U148" s="207">
        <v>1028.2</v>
      </c>
      <c r="V148" s="97">
        <f t="shared" si="61"/>
        <v>1051.7162016438358</v>
      </c>
      <c r="W148" s="32">
        <f t="shared" si="59"/>
        <v>1072.7505256767126</v>
      </c>
      <c r="X148" s="32">
        <f t="shared" si="60"/>
        <v>1093.7848497095893</v>
      </c>
      <c r="Y148" s="94">
        <v>12000</v>
      </c>
      <c r="Z148" s="94"/>
      <c r="AA148" s="94"/>
      <c r="AB148" s="94"/>
      <c r="AH148" s="97">
        <v>128</v>
      </c>
      <c r="AI148" s="111" t="s">
        <v>4765</v>
      </c>
      <c r="AJ148" s="111">
        <v>20000</v>
      </c>
      <c r="AK148" s="97">
        <v>10</v>
      </c>
      <c r="AL148" s="20">
        <f t="shared" si="58"/>
        <v>723</v>
      </c>
      <c r="AM148" s="115">
        <f>AJ148*AL148</f>
        <v>14460000</v>
      </c>
      <c r="AN148" s="20"/>
      <c r="AP148" t="s">
        <v>25</v>
      </c>
    </row>
    <row r="149" spans="5:44">
      <c r="G149" s="32">
        <f>(W166+W167)/P50</f>
        <v>342206.42881037411</v>
      </c>
      <c r="H149" s="32" t="s">
        <v>5434</v>
      </c>
      <c r="I149" s="32">
        <f>(W166+W167)/P49</f>
        <v>17333.153533697554</v>
      </c>
      <c r="J149" s="112"/>
      <c r="K149" s="94"/>
      <c r="L149" s="94"/>
      <c r="M149" s="94"/>
      <c r="N149" s="94"/>
      <c r="O149" s="94"/>
      <c r="Q149" s="167"/>
      <c r="R149" s="207" t="s">
        <v>6565</v>
      </c>
      <c r="S149" s="207">
        <f>S148-4</f>
        <v>6</v>
      </c>
      <c r="T149" s="207" t="s">
        <v>6566</v>
      </c>
      <c r="U149" s="207">
        <v>1028</v>
      </c>
      <c r="V149" s="97">
        <f t="shared" si="61"/>
        <v>1048.3572164383561</v>
      </c>
      <c r="W149" s="32">
        <f t="shared" si="59"/>
        <v>1069.3243607671232</v>
      </c>
      <c r="X149" s="32">
        <f t="shared" si="60"/>
        <v>1090.2915050958904</v>
      </c>
      <c r="Y149" s="94">
        <v>10000</v>
      </c>
      <c r="Z149" s="94"/>
      <c r="AA149" s="94"/>
      <c r="AB149" s="94"/>
      <c r="AH149" s="97">
        <v>129</v>
      </c>
      <c r="AI149" s="111" t="s">
        <v>4785</v>
      </c>
      <c r="AJ149" s="111">
        <v>1000000</v>
      </c>
      <c r="AK149" s="97">
        <v>1</v>
      </c>
      <c r="AL149" s="20">
        <f t="shared" si="58"/>
        <v>713</v>
      </c>
      <c r="AM149" s="115">
        <f>AJ149*AL149</f>
        <v>713000000</v>
      </c>
      <c r="AN149" s="20"/>
    </row>
    <row r="150" spans="5:44">
      <c r="E150" s="121"/>
      <c r="G150" s="32">
        <f>W164/P50</f>
        <v>2663398.957523304</v>
      </c>
      <c r="H150" s="32" t="s">
        <v>481</v>
      </c>
      <c r="I150" s="32">
        <f>W164/P49</f>
        <v>134904.25417408734</v>
      </c>
      <c r="J150" s="112"/>
      <c r="K150" s="94"/>
      <c r="L150" s="94"/>
      <c r="N150" s="94"/>
      <c r="O150" s="94"/>
      <c r="Q150" s="167"/>
      <c r="R150" s="207" t="s">
        <v>6568</v>
      </c>
      <c r="S150" s="207">
        <f>S149-3</f>
        <v>3</v>
      </c>
      <c r="T150" s="207" t="s">
        <v>6572</v>
      </c>
      <c r="U150" s="207">
        <v>1028</v>
      </c>
      <c r="V150" s="97">
        <f t="shared" si="61"/>
        <v>1045.9914082191781</v>
      </c>
      <c r="W150" s="32">
        <f t="shared" si="59"/>
        <v>1066.9112363835616</v>
      </c>
      <c r="X150" s="32">
        <f t="shared" si="60"/>
        <v>1087.8310645479453</v>
      </c>
      <c r="Y150" s="94">
        <v>154000</v>
      </c>
      <c r="Z150" s="94"/>
      <c r="AA150" s="94"/>
      <c r="AC150" s="112" t="s">
        <v>25</v>
      </c>
      <c r="AD150" s="112"/>
      <c r="AH150" s="97">
        <v>130</v>
      </c>
      <c r="AI150" s="111" t="s">
        <v>4786</v>
      </c>
      <c r="AJ150" s="111">
        <v>65630227</v>
      </c>
      <c r="AK150" s="97">
        <v>0</v>
      </c>
      <c r="AL150" s="20">
        <f t="shared" si="58"/>
        <v>712</v>
      </c>
      <c r="AM150" s="115">
        <f t="shared" ref="AM150:AM177" si="62">AJ150*AL150</f>
        <v>46728721624</v>
      </c>
      <c r="AN150" s="20" t="s">
        <v>4789</v>
      </c>
      <c r="AP150" t="s">
        <v>25</v>
      </c>
      <c r="AR150" t="s">
        <v>25</v>
      </c>
    </row>
    <row r="151" spans="5:44">
      <c r="G151" s="32">
        <f>G148-G149-G150</f>
        <v>4593027.0351539254</v>
      </c>
      <c r="H151" s="32" t="s">
        <v>5</v>
      </c>
      <c r="I151" s="32">
        <f>I148-I149-I150</f>
        <v>292869.992059657</v>
      </c>
      <c r="J151" s="112"/>
      <c r="K151" s="94"/>
      <c r="L151" s="94"/>
      <c r="M151" t="s">
        <v>25</v>
      </c>
      <c r="N151" s="94"/>
      <c r="O151" s="94"/>
      <c r="Q151" s="167"/>
      <c r="R151" s="207" t="s">
        <v>6570</v>
      </c>
      <c r="S151" s="207">
        <f>S150-3</f>
        <v>0</v>
      </c>
      <c r="T151" s="207" t="s">
        <v>6571</v>
      </c>
      <c r="U151" s="207">
        <v>1212</v>
      </c>
      <c r="V151" s="97"/>
      <c r="W151" s="32"/>
      <c r="X151" s="32"/>
      <c r="Y151" s="94"/>
      <c r="Z151" s="94">
        <v>845</v>
      </c>
      <c r="AA151" s="94"/>
      <c r="AC151" s="112"/>
      <c r="AH151" s="97">
        <v>131</v>
      </c>
      <c r="AI151" s="111" t="s">
        <v>4786</v>
      </c>
      <c r="AJ151" s="111">
        <v>-3500000</v>
      </c>
      <c r="AK151" s="97">
        <v>6</v>
      </c>
      <c r="AL151" s="20">
        <f t="shared" si="58"/>
        <v>712</v>
      </c>
      <c r="AM151" s="115">
        <f t="shared" si="62"/>
        <v>-2492000000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706</v>
      </c>
      <c r="AM152" s="115">
        <f t="shared" si="62"/>
        <v>1779120000</v>
      </c>
      <c r="AN152" s="20"/>
    </row>
    <row r="153" spans="5:44">
      <c r="N153" s="94"/>
      <c r="O153" s="94"/>
      <c r="P153" s="112"/>
      <c r="Q153" s="167"/>
      <c r="R153" s="207"/>
      <c r="S153" s="207"/>
      <c r="T153" s="207"/>
      <c r="U153" s="207"/>
      <c r="V153" s="97"/>
      <c r="W153" s="32"/>
      <c r="X153" s="32"/>
      <c r="Y153" s="94"/>
      <c r="Z153" s="94"/>
      <c r="AA153" s="94"/>
      <c r="AH153" s="97">
        <v>133</v>
      </c>
      <c r="AI153" s="111" t="s">
        <v>4833</v>
      </c>
      <c r="AJ153" s="111">
        <v>1400000</v>
      </c>
      <c r="AK153" s="97">
        <v>4</v>
      </c>
      <c r="AL153" s="20">
        <f t="shared" si="58"/>
        <v>694</v>
      </c>
      <c r="AM153" s="115">
        <f t="shared" si="62"/>
        <v>971600000</v>
      </c>
      <c r="AN153" s="20"/>
    </row>
    <row r="154" spans="5:44">
      <c r="K154" s="94"/>
      <c r="L154" s="94"/>
      <c r="Q154" s="167"/>
      <c r="R154" s="207"/>
      <c r="S154" s="207"/>
      <c r="T154" s="207" t="s">
        <v>25</v>
      </c>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690</v>
      </c>
      <c r="AM154" s="115">
        <f t="shared" si="62"/>
        <v>1069500000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688</v>
      </c>
      <c r="AM155" s="115">
        <f t="shared" si="62"/>
        <v>172000000</v>
      </c>
      <c r="AN155" s="20"/>
    </row>
    <row r="156" spans="5:44">
      <c r="G156" s="32" t="s">
        <v>180</v>
      </c>
      <c r="H156" s="32" t="s">
        <v>5459</v>
      </c>
      <c r="I156" s="207" t="s">
        <v>5460</v>
      </c>
      <c r="J156" s="207" t="s">
        <v>5461</v>
      </c>
      <c r="K156" s="32" t="s">
        <v>5462</v>
      </c>
      <c r="L156" s="97" t="s">
        <v>5476</v>
      </c>
      <c r="M156" s="97" t="s">
        <v>5477</v>
      </c>
      <c r="P156" s="94"/>
      <c r="Q156" s="111">
        <f>SUM(N44:N54)-SUM(Q116:Q155)</f>
        <v>3318217457.36867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2"/>
        <v>-33095741360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2"/>
        <v>1402800000</v>
      </c>
      <c r="AN157" s="20"/>
    </row>
    <row r="158" spans="5:44">
      <c r="G158" s="32" t="s">
        <v>5463</v>
      </c>
      <c r="H158" s="32">
        <v>3245022</v>
      </c>
      <c r="I158" s="207">
        <v>249261</v>
      </c>
      <c r="J158" s="207">
        <v>2532877</v>
      </c>
      <c r="K158" s="32">
        <v>195062</v>
      </c>
      <c r="L158" s="97">
        <f t="shared" si="63"/>
        <v>5777899</v>
      </c>
      <c r="M158" s="97">
        <f t="shared" si="64"/>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2"/>
        <v>66700000</v>
      </c>
      <c r="AN158" s="20"/>
    </row>
    <row r="159" spans="5:44">
      <c r="G159" s="32" t="s">
        <v>5464</v>
      </c>
      <c r="H159" s="32"/>
      <c r="I159" s="207"/>
      <c r="J159" s="207"/>
      <c r="K159" s="32"/>
      <c r="L159" s="97">
        <f t="shared" si="63"/>
        <v>0</v>
      </c>
      <c r="M159" s="97">
        <f t="shared" si="64"/>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32" t="s">
        <v>5465</v>
      </c>
      <c r="H160" s="32"/>
      <c r="I160" s="207"/>
      <c r="J160" s="207"/>
      <c r="K160" s="32"/>
      <c r="L160" s="97">
        <f t="shared" si="63"/>
        <v>0</v>
      </c>
      <c r="M160" s="97">
        <f t="shared" si="64"/>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t="s">
        <v>25</v>
      </c>
      <c r="V162" s="94"/>
      <c r="W162"/>
      <c r="X162" t="s">
        <v>25</v>
      </c>
      <c r="Y162" t="s">
        <v>25</v>
      </c>
      <c r="Z162" t="s">
        <v>25</v>
      </c>
      <c r="AA162" t="s">
        <v>25</v>
      </c>
      <c r="AH162" s="97">
        <v>142</v>
      </c>
      <c r="AI162" s="111" t="s">
        <v>4901</v>
      </c>
      <c r="AJ162" s="111">
        <v>-1100000</v>
      </c>
      <c r="AK162" s="97"/>
      <c r="AL162" s="20">
        <f t="shared" si="65"/>
        <v>663</v>
      </c>
      <c r="AM162" s="115">
        <f t="shared" si="66"/>
        <v>-729300000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5"/>
        <v>663</v>
      </c>
      <c r="AM163" s="115">
        <f t="shared" si="66"/>
        <v>596700000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s="94"/>
      <c r="R164" s="94"/>
      <c r="S164" s="94"/>
      <c r="T164" s="120">
        <f>V165-V170</f>
        <v>2664373</v>
      </c>
      <c r="U164" s="285" t="s">
        <v>744</v>
      </c>
      <c r="V164" s="285">
        <v>1493032</v>
      </c>
      <c r="W164" s="88">
        <f>V164*$T$504</f>
        <v>2900441464.742878</v>
      </c>
      <c r="X164">
        <f>W164*100/$W$170</f>
        <v>34.643050806321185</v>
      </c>
      <c r="Y164" t="s">
        <v>25</v>
      </c>
      <c r="Z164" t="s">
        <v>25</v>
      </c>
      <c r="AA164" t="s">
        <v>25</v>
      </c>
      <c r="AH164" s="97">
        <v>144</v>
      </c>
      <c r="AI164" s="111" t="s">
        <v>4905</v>
      </c>
      <c r="AJ164" s="111">
        <v>2000000</v>
      </c>
      <c r="AK164" s="97">
        <v>0</v>
      </c>
      <c r="AL164" s="20">
        <f t="shared" si="65"/>
        <v>662</v>
      </c>
      <c r="AM164" s="115">
        <f t="shared" si="66"/>
        <v>1324000000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120"/>
      <c r="U165" s="285" t="s">
        <v>4410</v>
      </c>
      <c r="V165" s="285">
        <v>2624895</v>
      </c>
      <c r="W165" s="88">
        <f>V165*$T$504</f>
        <v>5099257282.2258711</v>
      </c>
      <c r="X165" s="94">
        <f>W165*100/$W$170</f>
        <v>60.905841834775444</v>
      </c>
      <c r="Y165" t="s">
        <v>25</v>
      </c>
      <c r="Z165" t="s">
        <v>25</v>
      </c>
      <c r="AA165" t="s">
        <v>25</v>
      </c>
      <c r="AH165" s="97">
        <v>145</v>
      </c>
      <c r="AI165" s="111" t="s">
        <v>4905</v>
      </c>
      <c r="AJ165" s="111">
        <v>360000</v>
      </c>
      <c r="AK165" s="97">
        <v>1</v>
      </c>
      <c r="AL165" s="20">
        <f t="shared" si="65"/>
        <v>662</v>
      </c>
      <c r="AM165" s="115">
        <f t="shared" si="66"/>
        <v>238320000</v>
      </c>
      <c r="AN165" s="20"/>
    </row>
    <row r="166" spans="7:43">
      <c r="G166" s="32"/>
      <c r="H166" s="32"/>
      <c r="I166" s="207"/>
      <c r="J166" s="207"/>
      <c r="K166" s="32"/>
      <c r="L166" s="97"/>
      <c r="M166" s="97"/>
      <c r="N166" s="94"/>
      <c r="O166" s="94"/>
      <c r="P166" s="112"/>
      <c r="Q166" t="s">
        <v>25</v>
      </c>
      <c r="S166" t="s">
        <v>25</v>
      </c>
      <c r="T166" s="94">
        <f>V164-V170</f>
        <v>1532510</v>
      </c>
      <c r="U166" s="285" t="s">
        <v>4409</v>
      </c>
      <c r="V166" s="285">
        <v>48626</v>
      </c>
      <c r="W166" s="88">
        <f>V166*$T$504</f>
        <v>94463391.71872215</v>
      </c>
      <c r="X166" s="94">
        <f>W166*100/$W$170</f>
        <v>1.1282765463219635</v>
      </c>
      <c r="Y166" t="s">
        <v>25</v>
      </c>
      <c r="AH166" s="97">
        <v>146</v>
      </c>
      <c r="AI166" s="111" t="s">
        <v>4906</v>
      </c>
      <c r="AJ166" s="111">
        <v>3000000</v>
      </c>
      <c r="AK166" s="97">
        <v>1</v>
      </c>
      <c r="AL166" s="20">
        <f t="shared" si="65"/>
        <v>661</v>
      </c>
      <c r="AM166" s="115">
        <f t="shared" si="66"/>
        <v>1983000000</v>
      </c>
      <c r="AN166" s="20"/>
    </row>
    <row r="167" spans="7:43">
      <c r="G167" s="32"/>
      <c r="H167" s="32"/>
      <c r="I167" s="207"/>
      <c r="J167" s="207"/>
      <c r="K167" s="32"/>
      <c r="L167" s="97"/>
      <c r="M167" s="97"/>
      <c r="P167" s="112"/>
      <c r="Q167" t="s">
        <v>25</v>
      </c>
      <c r="T167" s="94"/>
      <c r="U167" s="285" t="s">
        <v>1071</v>
      </c>
      <c r="V167" s="285">
        <v>143206</v>
      </c>
      <c r="W167" s="88">
        <f>V167*$T$504</f>
        <v>278199409.25577521</v>
      </c>
      <c r="X167" s="94">
        <f>W167*100/$W$170</f>
        <v>3.3228308125813997</v>
      </c>
      <c r="Z167" t="s">
        <v>25</v>
      </c>
      <c r="AH167" s="97">
        <v>147</v>
      </c>
      <c r="AI167" s="111" t="s">
        <v>4904</v>
      </c>
      <c r="AJ167" s="111">
        <v>-658226</v>
      </c>
      <c r="AK167" s="97">
        <v>1</v>
      </c>
      <c r="AL167" s="20">
        <f t="shared" si="65"/>
        <v>660</v>
      </c>
      <c r="AM167" s="115">
        <f t="shared" si="66"/>
        <v>-434429160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5"/>
        <v>659</v>
      </c>
      <c r="AM168" s="115">
        <f t="shared" si="66"/>
        <v>659000000</v>
      </c>
      <c r="AN168" s="20"/>
      <c r="AP168" t="s">
        <v>25</v>
      </c>
    </row>
    <row r="169" spans="7:43">
      <c r="N169" s="112"/>
      <c r="O169" s="112"/>
      <c r="P169" s="112"/>
      <c r="Q169" t="s">
        <v>25</v>
      </c>
      <c r="S169" t="s">
        <v>25</v>
      </c>
      <c r="T169" s="94" t="s">
        <v>25</v>
      </c>
      <c r="U169" s="87"/>
      <c r="V169" s="87">
        <f>SUM(V164:V167)</f>
        <v>4309759</v>
      </c>
      <c r="W169" s="87"/>
      <c r="X169" s="112" t="s">
        <v>25</v>
      </c>
      <c r="Y169" t="s">
        <v>25</v>
      </c>
      <c r="Z169" t="s">
        <v>25</v>
      </c>
      <c r="AH169" s="97">
        <v>149</v>
      </c>
      <c r="AI169" s="111" t="s">
        <v>4934</v>
      </c>
      <c r="AJ169" s="111">
        <v>1130250</v>
      </c>
      <c r="AK169" s="97">
        <v>5</v>
      </c>
      <c r="AL169" s="20">
        <f t="shared" si="58"/>
        <v>644</v>
      </c>
      <c r="AM169" s="115">
        <f t="shared" si="62"/>
        <v>727881000</v>
      </c>
      <c r="AN169" s="20"/>
    </row>
    <row r="170" spans="7:43">
      <c r="O170" s="112"/>
      <c r="P170" s="112"/>
      <c r="Q170" s="94" t="s">
        <v>25</v>
      </c>
      <c r="R170" s="94"/>
      <c r="S170" s="94" t="s">
        <v>25</v>
      </c>
      <c r="T170" s="94" t="s">
        <v>25</v>
      </c>
      <c r="U170" s="87"/>
      <c r="V170" s="87">
        <f>V169-U501</f>
        <v>-39478</v>
      </c>
      <c r="W170" s="140">
        <f>SUM(W164:W167)</f>
        <v>8372361547.9432468</v>
      </c>
      <c r="X170" s="94"/>
      <c r="Y170" t="s">
        <v>25</v>
      </c>
      <c r="Z170" t="s">
        <v>25</v>
      </c>
      <c r="AE170" s="94" t="s">
        <v>25</v>
      </c>
      <c r="AH170" s="97">
        <v>150</v>
      </c>
      <c r="AI170" s="111" t="s">
        <v>4942</v>
      </c>
      <c r="AJ170" s="111">
        <v>206000</v>
      </c>
      <c r="AK170" s="97">
        <v>2</v>
      </c>
      <c r="AL170" s="20">
        <f t="shared" si="58"/>
        <v>639</v>
      </c>
      <c r="AM170" s="115">
        <f t="shared" si="62"/>
        <v>131634000</v>
      </c>
      <c r="AN170" s="20"/>
    </row>
    <row r="171" spans="7:43">
      <c r="G171" s="97" t="s">
        <v>5449</v>
      </c>
      <c r="H171" s="97"/>
      <c r="I171" s="97"/>
      <c r="K171" t="s">
        <v>25</v>
      </c>
      <c r="M171" t="s">
        <v>25</v>
      </c>
      <c r="N171" s="112"/>
      <c r="O171" s="112"/>
      <c r="P171" s="112"/>
      <c r="Q171" s="94"/>
      <c r="R171" s="94"/>
      <c r="S171" s="94"/>
      <c r="T171" s="94" t="s">
        <v>25</v>
      </c>
      <c r="U171" s="87"/>
      <c r="V171" s="87" t="s">
        <v>5861</v>
      </c>
      <c r="W171" s="140">
        <f>R182-W167</f>
        <v>110674400.74422479</v>
      </c>
      <c r="X171" s="94"/>
      <c r="Y171" t="s">
        <v>25</v>
      </c>
      <c r="Z171" t="s">
        <v>25</v>
      </c>
      <c r="AA171" t="s">
        <v>25</v>
      </c>
      <c r="AH171" s="97">
        <v>151</v>
      </c>
      <c r="AI171" s="111" t="s">
        <v>4949</v>
      </c>
      <c r="AJ171" s="111">
        <v>50000</v>
      </c>
      <c r="AK171" s="97">
        <v>2</v>
      </c>
      <c r="AL171" s="20">
        <f t="shared" si="58"/>
        <v>637</v>
      </c>
      <c r="AM171" s="115">
        <f t="shared" si="62"/>
        <v>31850000</v>
      </c>
      <c r="AN171" s="20"/>
    </row>
    <row r="172" spans="7:43">
      <c r="G172" s="97" t="s">
        <v>452</v>
      </c>
      <c r="H172" s="97">
        <v>199</v>
      </c>
      <c r="I172" s="97" t="s">
        <v>5450</v>
      </c>
      <c r="P172" s="112"/>
      <c r="Q172" s="94" t="s">
        <v>25</v>
      </c>
      <c r="R172" s="94"/>
      <c r="S172" s="94"/>
      <c r="T172" s="94" t="s">
        <v>25</v>
      </c>
      <c r="U172" s="87"/>
      <c r="V172" s="87" t="s">
        <v>5860</v>
      </c>
      <c r="W172" s="140">
        <f>W166-W171</f>
        <v>-16211009.025502637</v>
      </c>
      <c r="X172" s="94"/>
      <c r="Z172" t="s">
        <v>25</v>
      </c>
      <c r="AH172" s="97">
        <v>152</v>
      </c>
      <c r="AI172" s="111" t="s">
        <v>4953</v>
      </c>
      <c r="AJ172" s="111">
        <v>105000</v>
      </c>
      <c r="AK172" s="97">
        <v>4</v>
      </c>
      <c r="AL172" s="20">
        <f t="shared" si="58"/>
        <v>635</v>
      </c>
      <c r="AM172" s="115">
        <f t="shared" si="62"/>
        <v>66675000</v>
      </c>
      <c r="AN172" s="20"/>
    </row>
    <row r="173" spans="7:43">
      <c r="G173" s="97" t="s">
        <v>744</v>
      </c>
      <c r="H173" s="97">
        <v>200</v>
      </c>
      <c r="I173" s="97" t="s">
        <v>5451</v>
      </c>
      <c r="M173" t="s">
        <v>25</v>
      </c>
      <c r="O173" s="112"/>
      <c r="P173" s="112"/>
      <c r="Q173" s="94" t="s">
        <v>25</v>
      </c>
      <c r="R173" s="94"/>
      <c r="S173" s="94"/>
      <c r="T173" s="94"/>
      <c r="U173" s="87"/>
      <c r="V173" s="87" t="s">
        <v>4929</v>
      </c>
      <c r="W173" s="140">
        <f>W164+W172-R181</f>
        <v>-53991410.282624722</v>
      </c>
      <c r="X173" s="94"/>
      <c r="Y173" t="s">
        <v>25</v>
      </c>
      <c r="AH173" s="97">
        <v>153</v>
      </c>
      <c r="AI173" s="111" t="s">
        <v>4957</v>
      </c>
      <c r="AJ173" s="111">
        <v>5000000</v>
      </c>
      <c r="AK173" s="97">
        <v>1</v>
      </c>
      <c r="AL173" s="20">
        <f t="shared" si="58"/>
        <v>631</v>
      </c>
      <c r="AM173" s="115">
        <f t="shared" si="62"/>
        <v>3155000000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2"/>
        <v>1575000000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628</v>
      </c>
      <c r="AM175" s="247">
        <f t="shared" si="62"/>
        <v>-31400000000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621</v>
      </c>
      <c r="AM176" s="115">
        <f t="shared" si="62"/>
        <v>6210000000</v>
      </c>
      <c r="AN176" s="20" t="s">
        <v>4678</v>
      </c>
    </row>
    <row r="177" spans="5:43">
      <c r="G177" s="97"/>
      <c r="H177" s="97"/>
      <c r="I177" s="97"/>
      <c r="P177" s="112"/>
      <c r="S177" s="94"/>
      <c r="T177" s="94"/>
      <c r="V177" s="94"/>
      <c r="AH177" s="97">
        <v>157</v>
      </c>
      <c r="AI177" s="111" t="s">
        <v>4977</v>
      </c>
      <c r="AJ177" s="111">
        <v>-16266000</v>
      </c>
      <c r="AK177" s="97">
        <v>1</v>
      </c>
      <c r="AL177" s="20">
        <f t="shared" si="58"/>
        <v>609</v>
      </c>
      <c r="AM177" s="115">
        <f t="shared" si="62"/>
        <v>-9905994000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97"/>
      <c r="H179" s="97"/>
      <c r="I179" s="97"/>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602</v>
      </c>
      <c r="AM179" s="115">
        <f>AJ179*AL179</f>
        <v>24080000</v>
      </c>
      <c r="AN179" s="20"/>
    </row>
    <row r="180" spans="5:43">
      <c r="P180" s="112"/>
      <c r="Q180" s="36" t="s">
        <v>4515</v>
      </c>
      <c r="R180" s="93">
        <f>SUM(N44:N54)</f>
        <v>5195934476</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7" t="s">
        <v>4411</v>
      </c>
      <c r="R181" s="93">
        <f>SUM(N21:N25)</f>
        <v>2938221866</v>
      </c>
      <c r="T181" s="166" t="s">
        <v>4208</v>
      </c>
      <c r="U181" s="166">
        <v>1000</v>
      </c>
      <c r="V181" s="111">
        <v>247.393</v>
      </c>
      <c r="W181" s="111">
        <f t="shared" si="67"/>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97" t="s">
        <v>4412</v>
      </c>
      <c r="R182" s="93">
        <f>SUM(N28:N31)</f>
        <v>388873810</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4413</v>
      </c>
      <c r="R183" s="93">
        <f>N42</f>
        <v>793</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575</v>
      </c>
      <c r="AM184" s="115">
        <f t="shared" si="69"/>
        <v>28750000</v>
      </c>
      <c r="AN184" s="20"/>
    </row>
    <row r="185" spans="5:43">
      <c r="G185" s="207" t="s">
        <v>5441</v>
      </c>
      <c r="H185" s="1">
        <v>1215000</v>
      </c>
      <c r="I185" t="s">
        <v>5471</v>
      </c>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569</v>
      </c>
      <c r="AM185" s="115">
        <f t="shared" si="69"/>
        <v>-113800000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566</v>
      </c>
      <c r="AM187" s="115">
        <f t="shared" si="69"/>
        <v>113200000</v>
      </c>
      <c r="AN187" s="20"/>
    </row>
    <row r="188" spans="5:43">
      <c r="G188" s="207" t="s">
        <v>5447</v>
      </c>
      <c r="H188" s="1">
        <v>800000</v>
      </c>
      <c r="I188" t="s">
        <v>5474</v>
      </c>
      <c r="P188" s="112"/>
      <c r="Q188" s="97" t="s">
        <v>6561</v>
      </c>
      <c r="R188" s="93">
        <v>-73978994</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563</v>
      </c>
      <c r="AM188" s="115">
        <f t="shared" si="69"/>
        <v>16890000</v>
      </c>
      <c r="AN188" s="20"/>
    </row>
    <row r="189" spans="5:43">
      <c r="G189" s="207" t="s">
        <v>5463</v>
      </c>
      <c r="H189" s="1">
        <v>1948000</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556</v>
      </c>
      <c r="AM189" s="115">
        <f t="shared" si="69"/>
        <v>-5560000000</v>
      </c>
      <c r="AN189" s="20" t="s">
        <v>4972</v>
      </c>
    </row>
    <row r="190" spans="5:43" ht="30">
      <c r="G190" s="207" t="s">
        <v>5490</v>
      </c>
      <c r="H190" s="1">
        <v>5745697.3157000002</v>
      </c>
      <c r="P190" s="112"/>
      <c r="Q190" s="36" t="s">
        <v>6557</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556</v>
      </c>
      <c r="AM190" s="115">
        <f t="shared" si="69"/>
        <v>3336000000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548</v>
      </c>
      <c r="AM191" s="115">
        <f>AJ191*AL191</f>
        <v>82200000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t="s">
        <v>4419</v>
      </c>
      <c r="R195" s="93">
        <f>SUM(R180:R194)</f>
        <v>8449053560</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5500</v>
      </c>
      <c r="H196" s="111">
        <v>4108143</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532</v>
      </c>
      <c r="AM196" s="115">
        <f t="shared" si="71"/>
        <v>691600000</v>
      </c>
      <c r="AN196" s="20"/>
      <c r="AR196" t="s">
        <v>25</v>
      </c>
    </row>
    <row r="197" spans="7:45">
      <c r="G197" s="207" t="s">
        <v>5502</v>
      </c>
      <c r="H197" s="111">
        <v>6000000</v>
      </c>
      <c r="T197" s="166" t="s">
        <v>4585</v>
      </c>
      <c r="U197" s="166">
        <v>17769</v>
      </c>
      <c r="V197" s="111">
        <v>246.17877999999999</v>
      </c>
      <c r="W197" s="111">
        <f t="shared" si="67"/>
        <v>4374350.7418200001</v>
      </c>
      <c r="X197" s="97" t="s">
        <v>452</v>
      </c>
      <c r="AH197" s="97">
        <v>177</v>
      </c>
      <c r="AI197" s="111" t="s">
        <v>5129</v>
      </c>
      <c r="AJ197" s="111">
        <v>230000</v>
      </c>
      <c r="AK197" s="97">
        <v>1</v>
      </c>
      <c r="AL197" s="20">
        <f t="shared" si="70"/>
        <v>532</v>
      </c>
      <c r="AM197" s="115">
        <f t="shared" si="71"/>
        <v>122360000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531</v>
      </c>
      <c r="AM198" s="115">
        <f t="shared" si="71"/>
        <v>467280000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527</v>
      </c>
      <c r="AM199" s="115">
        <f t="shared" si="71"/>
        <v>-474300000</v>
      </c>
      <c r="AN199" s="20"/>
    </row>
    <row r="200" spans="7:45">
      <c r="G200" s="207" t="s">
        <v>5511</v>
      </c>
      <c r="H200" s="111">
        <v>2281961.458596</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526</v>
      </c>
      <c r="AM200" s="115">
        <f t="shared" si="71"/>
        <v>-1841000000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525</v>
      </c>
      <c r="AM201" s="115">
        <f t="shared" si="71"/>
        <v>-840000000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524</v>
      </c>
      <c r="AM202" s="115">
        <f t="shared" si="71"/>
        <v>-419200000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517</v>
      </c>
      <c r="AM203" s="115">
        <f t="shared" si="71"/>
        <v>25850000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507</v>
      </c>
      <c r="AM205" s="115">
        <f t="shared" si="73"/>
        <v>-5070000000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507</v>
      </c>
      <c r="AM206" s="115">
        <f t="shared" si="73"/>
        <v>1521000000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506</v>
      </c>
      <c r="AM207" s="115">
        <f t="shared" si="73"/>
        <v>253000000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483</v>
      </c>
      <c r="AM208" s="115">
        <f t="shared" si="73"/>
        <v>48912444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482</v>
      </c>
      <c r="AM209" s="115">
        <f t="shared" si="73"/>
        <v>48682000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448</v>
      </c>
      <c r="AM210" s="115">
        <f t="shared" si="73"/>
        <v>-218893696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443</v>
      </c>
      <c r="AM211" s="115">
        <f t="shared" si="73"/>
        <v>159480000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433</v>
      </c>
      <c r="AM212" s="115">
        <f t="shared" si="73"/>
        <v>-1558800000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429</v>
      </c>
      <c r="AM213" s="115">
        <f t="shared" si="73"/>
        <v>-429000000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422</v>
      </c>
      <c r="AM215" s="115">
        <f t="shared" si="75"/>
        <v>844000000</v>
      </c>
      <c r="AN215" s="20"/>
    </row>
    <row r="216" spans="7:46">
      <c r="G216" s="207" t="s">
        <v>5607</v>
      </c>
      <c r="H216" s="111">
        <v>22877413.789960001</v>
      </c>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421</v>
      </c>
      <c r="AM216" s="115">
        <f t="shared" si="75"/>
        <v>8420000000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421</v>
      </c>
      <c r="AM217" s="115">
        <f t="shared" si="75"/>
        <v>-1978700000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420</v>
      </c>
      <c r="AM218" s="115">
        <f t="shared" si="75"/>
        <v>1260000000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416</v>
      </c>
      <c r="AM219" s="115">
        <f t="shared" si="75"/>
        <v>624000000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415</v>
      </c>
      <c r="AM220" s="115">
        <f t="shared" si="75"/>
        <v>12450000000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382</v>
      </c>
      <c r="AM221" s="115">
        <f t="shared" si="75"/>
        <v>1146000000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381</v>
      </c>
      <c r="AM222" s="115">
        <f t="shared" si="75"/>
        <v>2667000000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377</v>
      </c>
      <c r="AM223" s="115">
        <f t="shared" si="75"/>
        <v>3317600000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375</v>
      </c>
      <c r="AM224" s="115">
        <f t="shared" si="75"/>
        <v>15000000000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367</v>
      </c>
      <c r="AM225" s="115">
        <f t="shared" si="75"/>
        <v>146800000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5644</v>
      </c>
      <c r="H229" s="111">
        <v>1826535.2307560001</v>
      </c>
      <c r="K229" t="s">
        <v>25</v>
      </c>
      <c r="Q229" s="187" t="s">
        <v>5926</v>
      </c>
      <c r="R229" s="187" t="s">
        <v>5626</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67"/>
        <v>297616.79550000001</v>
      </c>
      <c r="X231" s="97" t="s">
        <v>452</v>
      </c>
      <c r="AH231" s="97">
        <v>211</v>
      </c>
      <c r="AI231" s="111" t="s">
        <v>5443</v>
      </c>
      <c r="AJ231" s="111">
        <v>2050000</v>
      </c>
      <c r="AK231" s="97">
        <v>7</v>
      </c>
      <c r="AL231" s="20">
        <f t="shared" si="74"/>
        <v>297</v>
      </c>
      <c r="AM231" s="115">
        <f t="shared" si="75"/>
        <v>608850000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67"/>
        <v>-1099840.5404999999</v>
      </c>
      <c r="X232" s="97" t="s">
        <v>4409</v>
      </c>
      <c r="AH232" s="97">
        <v>212</v>
      </c>
      <c r="AI232" s="111" t="s">
        <v>5464</v>
      </c>
      <c r="AJ232" s="111">
        <v>50000000</v>
      </c>
      <c r="AK232" s="97">
        <v>24</v>
      </c>
      <c r="AL232" s="20">
        <f t="shared" si="74"/>
        <v>290</v>
      </c>
      <c r="AM232" s="115">
        <f t="shared" si="75"/>
        <v>14500000000</v>
      </c>
      <c r="AN232" s="20" t="s">
        <v>4678</v>
      </c>
    </row>
    <row r="233" spans="4:45">
      <c r="D233" s="94"/>
      <c r="E233" s="94"/>
      <c r="F233" s="94"/>
      <c r="G233" s="207" t="s">
        <v>5658</v>
      </c>
      <c r="H233" s="111">
        <v>7357181.2750800001</v>
      </c>
      <c r="J233" t="s">
        <v>25</v>
      </c>
      <c r="Q233" s="187" t="s">
        <v>5742</v>
      </c>
      <c r="R233" s="187" t="s">
        <v>5739</v>
      </c>
      <c r="S233" s="186">
        <v>-70000</v>
      </c>
      <c r="T233" s="207" t="s">
        <v>966</v>
      </c>
      <c r="U233" s="207">
        <v>4017</v>
      </c>
      <c r="V233" s="111">
        <v>273.79649999999998</v>
      </c>
      <c r="W233" s="111">
        <f t="shared" si="67"/>
        <v>1099840.5404999999</v>
      </c>
      <c r="X233" s="97" t="s">
        <v>452</v>
      </c>
      <c r="AH233" s="97">
        <v>213</v>
      </c>
      <c r="AI233" s="111" t="s">
        <v>5502</v>
      </c>
      <c r="AJ233" s="111">
        <v>-58196600</v>
      </c>
      <c r="AK233" s="97">
        <v>22</v>
      </c>
      <c r="AL233" s="20">
        <f t="shared" si="74"/>
        <v>266</v>
      </c>
      <c r="AM233" s="115">
        <f t="shared" si="75"/>
        <v>-15480295600</v>
      </c>
      <c r="AN233" s="20" t="s">
        <v>4865</v>
      </c>
    </row>
    <row r="234" spans="4:45">
      <c r="G234" s="207" t="s">
        <v>5660</v>
      </c>
      <c r="H234" s="111">
        <v>14951411.942400001</v>
      </c>
      <c r="Q234" s="187" t="s">
        <v>5749</v>
      </c>
      <c r="R234" s="187" t="s">
        <v>5746</v>
      </c>
      <c r="S234" s="186">
        <v>1300000</v>
      </c>
      <c r="T234" s="207" t="s">
        <v>4765</v>
      </c>
      <c r="U234" s="207">
        <v>3137</v>
      </c>
      <c r="V234" s="111">
        <v>283.69110000000001</v>
      </c>
      <c r="W234" s="111">
        <f t="shared" si="67"/>
        <v>889938.98070000007</v>
      </c>
      <c r="X234" s="97" t="s">
        <v>452</v>
      </c>
      <c r="Y234" t="s">
        <v>25</v>
      </c>
      <c r="AH234" s="97">
        <v>214</v>
      </c>
      <c r="AI234" s="111" t="s">
        <v>5544</v>
      </c>
      <c r="AJ234" s="111">
        <v>25000</v>
      </c>
      <c r="AK234" s="97">
        <v>8</v>
      </c>
      <c r="AL234" s="20">
        <f t="shared" si="74"/>
        <v>244</v>
      </c>
      <c r="AM234" s="115">
        <f t="shared" si="75"/>
        <v>6100000</v>
      </c>
      <c r="AN234" s="20"/>
    </row>
    <row r="235" spans="4:45">
      <c r="G235" s="207" t="s">
        <v>5664</v>
      </c>
      <c r="H235" s="111">
        <v>47928209.377011999</v>
      </c>
      <c r="Q235" s="187" t="s">
        <v>60</v>
      </c>
      <c r="R235" s="187" t="s">
        <v>5758</v>
      </c>
      <c r="S235" s="186">
        <v>90000000</v>
      </c>
      <c r="T235" s="207" t="s">
        <v>4778</v>
      </c>
      <c r="U235" s="207">
        <v>101933</v>
      </c>
      <c r="V235" s="111">
        <v>294.30973999999998</v>
      </c>
      <c r="W235" s="111">
        <f t="shared" si="67"/>
        <v>29999874.727419998</v>
      </c>
      <c r="X235" s="97" t="s">
        <v>1071</v>
      </c>
      <c r="Y235" t="s">
        <v>25</v>
      </c>
      <c r="AH235" s="97">
        <v>215</v>
      </c>
      <c r="AI235" s="111" t="s">
        <v>5565</v>
      </c>
      <c r="AJ235" s="111">
        <v>70000</v>
      </c>
      <c r="AK235" s="97">
        <v>6</v>
      </c>
      <c r="AL235" s="20">
        <f t="shared" si="74"/>
        <v>236</v>
      </c>
      <c r="AM235" s="115">
        <f t="shared" si="75"/>
        <v>16520000</v>
      </c>
      <c r="AN235" s="20"/>
    </row>
    <row r="236" spans="4:45">
      <c r="G236" s="207" t="s">
        <v>5666</v>
      </c>
      <c r="H236" s="111">
        <v>2281595.69937</v>
      </c>
      <c r="J236" t="s">
        <v>25</v>
      </c>
      <c r="Q236" s="187" t="s">
        <v>5855</v>
      </c>
      <c r="R236" s="187" t="s">
        <v>5851</v>
      </c>
      <c r="S236" s="186">
        <v>33832510.64875</v>
      </c>
      <c r="T236" s="207" t="s">
        <v>4785</v>
      </c>
      <c r="U236" s="207">
        <v>3407</v>
      </c>
      <c r="V236" s="111">
        <v>293.43799999999999</v>
      </c>
      <c r="W236" s="111">
        <f t="shared" si="67"/>
        <v>999743.26599999995</v>
      </c>
      <c r="X236" s="97" t="s">
        <v>452</v>
      </c>
      <c r="AH236" s="97">
        <v>216</v>
      </c>
      <c r="AI236" s="111" t="s">
        <v>5570</v>
      </c>
      <c r="AJ236" s="111">
        <v>70000</v>
      </c>
      <c r="AK236" s="97">
        <v>1</v>
      </c>
      <c r="AL236" s="20">
        <f t="shared" si="74"/>
        <v>230</v>
      </c>
      <c r="AM236" s="115">
        <f t="shared" si="75"/>
        <v>16100000</v>
      </c>
      <c r="AN236" s="20"/>
      <c r="AR236" t="s">
        <v>25</v>
      </c>
    </row>
    <row r="237" spans="4:45">
      <c r="G237" s="207" t="s">
        <v>5668</v>
      </c>
      <c r="H237" s="111">
        <v>2964916.035069</v>
      </c>
      <c r="Q237" s="187" t="s">
        <v>5888</v>
      </c>
      <c r="R237" s="187" t="s">
        <v>5883</v>
      </c>
      <c r="S237" s="186">
        <v>21634932</v>
      </c>
      <c r="T237" s="207" t="s">
        <v>4786</v>
      </c>
      <c r="U237" s="207">
        <v>68796</v>
      </c>
      <c r="V237" s="111">
        <v>293.53250000000003</v>
      </c>
      <c r="W237" s="111">
        <f t="shared" si="67"/>
        <v>20193861.870000001</v>
      </c>
      <c r="X237" s="97" t="s">
        <v>744</v>
      </c>
      <c r="AH237" s="97">
        <v>217</v>
      </c>
      <c r="AI237" s="111" t="s">
        <v>5559</v>
      </c>
      <c r="AJ237" s="111">
        <v>150000</v>
      </c>
      <c r="AK237" s="97">
        <v>0</v>
      </c>
      <c r="AL237" s="20">
        <f t="shared" si="74"/>
        <v>229</v>
      </c>
      <c r="AM237" s="115">
        <f t="shared" si="75"/>
        <v>34350000</v>
      </c>
      <c r="AN237" s="20"/>
      <c r="AQ237" t="s">
        <v>25</v>
      </c>
      <c r="AS237" t="s">
        <v>25</v>
      </c>
    </row>
    <row r="238" spans="4:45">
      <c r="G238" s="207" t="s">
        <v>5669</v>
      </c>
      <c r="H238" s="111">
        <v>6460549.4269619994</v>
      </c>
      <c r="K238" t="s">
        <v>25</v>
      </c>
      <c r="Q238" s="187" t="s">
        <v>4737</v>
      </c>
      <c r="R238" s="187" t="s">
        <v>5883</v>
      </c>
      <c r="S238" s="186">
        <v>-22520813.151772</v>
      </c>
      <c r="T238" s="207" t="s">
        <v>4786</v>
      </c>
      <c r="U238" s="207">
        <v>154791</v>
      </c>
      <c r="V238" s="111">
        <v>293.53250000000003</v>
      </c>
      <c r="W238" s="111">
        <f t="shared" si="67"/>
        <v>45436189.207500003</v>
      </c>
      <c r="X238" s="97" t="s">
        <v>452</v>
      </c>
      <c r="AH238" s="97">
        <v>218</v>
      </c>
      <c r="AI238" s="111" t="s">
        <v>5559</v>
      </c>
      <c r="AJ238" s="111">
        <v>-95599450</v>
      </c>
      <c r="AK238" s="97">
        <v>7</v>
      </c>
      <c r="AL238" s="20">
        <f t="shared" si="74"/>
        <v>229</v>
      </c>
      <c r="AM238" s="115">
        <f t="shared" si="75"/>
        <v>-21892274050</v>
      </c>
      <c r="AN238" s="20" t="s">
        <v>5573</v>
      </c>
      <c r="AR238" t="s">
        <v>25</v>
      </c>
    </row>
    <row r="239" spans="4:45">
      <c r="G239" s="207" t="s">
        <v>5671</v>
      </c>
      <c r="H239" s="111">
        <v>5212319.8968359996</v>
      </c>
      <c r="Q239" s="19" t="s">
        <v>6485</v>
      </c>
      <c r="R239" s="19" t="s">
        <v>6482</v>
      </c>
      <c r="S239" s="115">
        <v>-6000000</v>
      </c>
      <c r="T239" s="207" t="s">
        <v>4786</v>
      </c>
      <c r="U239" s="207">
        <v>-11923</v>
      </c>
      <c r="V239" s="111">
        <v>293.53250000000003</v>
      </c>
      <c r="W239" s="111">
        <f t="shared" si="67"/>
        <v>-3499787.9975000005</v>
      </c>
      <c r="X239" s="97" t="s">
        <v>452</v>
      </c>
      <c r="AH239" s="97">
        <v>219</v>
      </c>
      <c r="AI239" s="111" t="s">
        <v>5581</v>
      </c>
      <c r="AJ239" s="111">
        <v>200000</v>
      </c>
      <c r="AK239" s="97">
        <v>7</v>
      </c>
      <c r="AL239" s="20">
        <f t="shared" si="74"/>
        <v>222</v>
      </c>
      <c r="AM239" s="115">
        <f t="shared" si="75"/>
        <v>44400000</v>
      </c>
      <c r="AN239" s="20"/>
      <c r="AR239" t="s">
        <v>25</v>
      </c>
    </row>
    <row r="240" spans="4:45">
      <c r="G240" s="207" t="s">
        <v>5674</v>
      </c>
      <c r="H240" s="111">
        <v>4524496.4792809999</v>
      </c>
      <c r="Q240" s="19"/>
      <c r="R240" s="19"/>
      <c r="S240" s="115"/>
      <c r="T240" s="207" t="s">
        <v>4798</v>
      </c>
      <c r="U240" s="207">
        <v>8424</v>
      </c>
      <c r="V240" s="111">
        <v>299.15170000000001</v>
      </c>
      <c r="W240" s="111">
        <f t="shared" si="67"/>
        <v>2520053.9208</v>
      </c>
      <c r="X240" s="97" t="s">
        <v>452</v>
      </c>
      <c r="AH240" s="97">
        <v>220</v>
      </c>
      <c r="AI240" s="111" t="s">
        <v>5586</v>
      </c>
      <c r="AJ240" s="111">
        <v>150000</v>
      </c>
      <c r="AK240" s="97">
        <v>5</v>
      </c>
      <c r="AL240" s="20">
        <f t="shared" si="74"/>
        <v>215</v>
      </c>
      <c r="AM240" s="115">
        <f t="shared" si="75"/>
        <v>32250000</v>
      </c>
      <c r="AN240" s="20"/>
    </row>
    <row r="241" spans="7:46">
      <c r="G241" s="207" t="s">
        <v>5676</v>
      </c>
      <c r="H241" s="111">
        <v>22866040.240959998</v>
      </c>
      <c r="Q241" s="207" t="s">
        <v>25</v>
      </c>
      <c r="R241" s="207"/>
      <c r="S241" s="111"/>
      <c r="T241" s="207" t="s">
        <v>4833</v>
      </c>
      <c r="U241" s="207">
        <v>15943</v>
      </c>
      <c r="V241" s="111">
        <v>307.34415000000001</v>
      </c>
      <c r="W241" s="111">
        <f t="shared" si="67"/>
        <v>4899987.78345</v>
      </c>
      <c r="X241" s="97" t="s">
        <v>452</v>
      </c>
      <c r="AH241" s="97">
        <v>221</v>
      </c>
      <c r="AI241" s="111" t="s">
        <v>5590</v>
      </c>
      <c r="AJ241" s="111">
        <v>310000</v>
      </c>
      <c r="AK241" s="97">
        <v>31</v>
      </c>
      <c r="AL241" s="20">
        <f t="shared" si="74"/>
        <v>210</v>
      </c>
      <c r="AM241" s="115">
        <f t="shared" si="75"/>
        <v>65100000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5626</v>
      </c>
      <c r="AJ242" s="111">
        <v>4200000</v>
      </c>
      <c r="AK242" s="97">
        <v>53</v>
      </c>
      <c r="AL242" s="20">
        <f t="shared" si="74"/>
        <v>179</v>
      </c>
      <c r="AM242" s="115">
        <f t="shared" si="75"/>
        <v>751800000</v>
      </c>
      <c r="AN242" s="20"/>
      <c r="AT242" s="94" t="s">
        <v>25</v>
      </c>
    </row>
    <row r="243" spans="7:46">
      <c r="G243" s="207" t="s">
        <v>5680</v>
      </c>
      <c r="H243" s="111">
        <v>2868508.1846330003</v>
      </c>
      <c r="Q243" s="41"/>
      <c r="R243" s="207"/>
      <c r="S243" s="207" t="s">
        <v>6</v>
      </c>
      <c r="T243" s="207" t="s">
        <v>4856</v>
      </c>
      <c r="U243" s="207">
        <v>-6207</v>
      </c>
      <c r="V243" s="111">
        <v>322.214</v>
      </c>
      <c r="W243" s="111">
        <f t="shared" si="67"/>
        <v>-1999982.298</v>
      </c>
      <c r="X243" s="97" t="s">
        <v>744</v>
      </c>
      <c r="AH243" s="97">
        <v>223</v>
      </c>
      <c r="AI243" s="111" t="s">
        <v>5697</v>
      </c>
      <c r="AJ243" s="111">
        <v>260000000</v>
      </c>
      <c r="AK243" s="97">
        <v>22</v>
      </c>
      <c r="AL243" s="20">
        <f t="shared" si="74"/>
        <v>126</v>
      </c>
      <c r="AM243" s="115">
        <f t="shared" si="75"/>
        <v>32760000000</v>
      </c>
      <c r="AN243" s="20" t="s">
        <v>5699</v>
      </c>
    </row>
    <row r="244" spans="7:46">
      <c r="G244" s="207" t="s">
        <v>5681</v>
      </c>
      <c r="H244" s="111">
        <v>17450393.011856001</v>
      </c>
      <c r="Q244" s="94"/>
      <c r="T244" s="207" t="s">
        <v>4856</v>
      </c>
      <c r="U244" s="207">
        <v>6207</v>
      </c>
      <c r="V244" s="111">
        <v>322.214</v>
      </c>
      <c r="W244" s="111">
        <f t="shared" si="67"/>
        <v>1999982.298</v>
      </c>
      <c r="X244" s="97" t="s">
        <v>4409</v>
      </c>
      <c r="AH244" s="97">
        <v>224</v>
      </c>
      <c r="AI244" s="111" t="s">
        <v>5729</v>
      </c>
      <c r="AJ244" s="111">
        <v>20000</v>
      </c>
      <c r="AK244" s="97">
        <v>7</v>
      </c>
      <c r="AL244" s="20">
        <f t="shared" si="74"/>
        <v>104</v>
      </c>
      <c r="AM244" s="115">
        <f t="shared" si="75"/>
        <v>2080000</v>
      </c>
      <c r="AN244" s="20"/>
      <c r="AP244" t="s">
        <v>25</v>
      </c>
    </row>
    <row r="245" spans="7:46">
      <c r="G245" s="207" t="s">
        <v>5682</v>
      </c>
      <c r="H245" s="111">
        <v>31388943.254850004</v>
      </c>
      <c r="Q245" s="94" t="s">
        <v>25</v>
      </c>
      <c r="R245" s="94" t="s">
        <v>25</v>
      </c>
      <c r="T245" s="207" t="s">
        <v>4805</v>
      </c>
      <c r="U245" s="207">
        <v>776</v>
      </c>
      <c r="V245" s="111">
        <v>322.214</v>
      </c>
      <c r="W245" s="111">
        <f t="shared" si="67"/>
        <v>250038.06400000001</v>
      </c>
      <c r="X245" s="97" t="s">
        <v>452</v>
      </c>
      <c r="AH245" s="97">
        <v>225</v>
      </c>
      <c r="AI245" s="111" t="s">
        <v>5739</v>
      </c>
      <c r="AJ245" s="111">
        <v>70000</v>
      </c>
      <c r="AK245" s="97">
        <v>1</v>
      </c>
      <c r="AL245" s="20">
        <f t="shared" si="74"/>
        <v>97</v>
      </c>
      <c r="AM245" s="115">
        <f t="shared" si="75"/>
        <v>6790000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67"/>
        <v>479999.04</v>
      </c>
      <c r="X246" s="97" t="s">
        <v>1071</v>
      </c>
      <c r="AH246" s="97">
        <v>226</v>
      </c>
      <c r="AI246" s="111" t="s">
        <v>5746</v>
      </c>
      <c r="AJ246" s="111">
        <v>330000</v>
      </c>
      <c r="AK246" s="97">
        <v>1</v>
      </c>
      <c r="AL246" s="20">
        <f t="shared" si="74"/>
        <v>96</v>
      </c>
      <c r="AM246" s="115">
        <f t="shared" si="75"/>
        <v>31680000</v>
      </c>
      <c r="AN246" s="20"/>
    </row>
    <row r="247" spans="7:46">
      <c r="G247" s="207" t="s">
        <v>5685</v>
      </c>
      <c r="H247" s="111">
        <v>19602926.115093999</v>
      </c>
      <c r="J247" t="s">
        <v>25</v>
      </c>
      <c r="S247" t="s">
        <v>25</v>
      </c>
      <c r="T247" s="207" t="s">
        <v>4885</v>
      </c>
      <c r="U247" s="207">
        <v>4435</v>
      </c>
      <c r="V247" s="111">
        <v>316.4375</v>
      </c>
      <c r="W247" s="111">
        <f t="shared" si="67"/>
        <v>1403400.3125</v>
      </c>
      <c r="X247" s="97" t="s">
        <v>452</v>
      </c>
      <c r="AH247" s="97">
        <v>227</v>
      </c>
      <c r="AI247" s="111" t="s">
        <v>5851</v>
      </c>
      <c r="AJ247" s="111">
        <v>33833075</v>
      </c>
      <c r="AK247" s="97">
        <v>18</v>
      </c>
      <c r="AL247" s="20">
        <f t="shared" si="74"/>
        <v>95</v>
      </c>
      <c r="AM247" s="115">
        <f t="shared" si="75"/>
        <v>3214142125</v>
      </c>
      <c r="AN247" s="20" t="s">
        <v>5855</v>
      </c>
    </row>
    <row r="248" spans="7:46">
      <c r="G248" s="207" t="s">
        <v>5689</v>
      </c>
      <c r="H248" s="111">
        <v>34458590.308710001</v>
      </c>
      <c r="P248" t="s">
        <v>25</v>
      </c>
      <c r="Q248" s="97" t="s">
        <v>744</v>
      </c>
      <c r="R248" s="97"/>
      <c r="S248" t="s">
        <v>25</v>
      </c>
      <c r="T248" s="207" t="s">
        <v>4888</v>
      </c>
      <c r="U248" s="207">
        <v>624</v>
      </c>
      <c r="V248" s="111">
        <v>320.5</v>
      </c>
      <c r="W248" s="111">
        <f t="shared" si="67"/>
        <v>199992</v>
      </c>
      <c r="X248" s="97" t="s">
        <v>452</v>
      </c>
      <c r="AH248" s="97">
        <v>228</v>
      </c>
      <c r="AI248" s="111" t="s">
        <v>5868</v>
      </c>
      <c r="AJ248" s="111">
        <v>150000</v>
      </c>
      <c r="AK248" s="97">
        <v>10</v>
      </c>
      <c r="AL248" s="20">
        <f t="shared" si="74"/>
        <v>77</v>
      </c>
      <c r="AM248" s="115"/>
      <c r="AN248" s="20"/>
    </row>
    <row r="249" spans="7:46">
      <c r="G249" s="207" t="s">
        <v>5691</v>
      </c>
      <c r="H249" s="111">
        <v>21697868.203256</v>
      </c>
      <c r="Q249" s="97" t="s">
        <v>4402</v>
      </c>
      <c r="R249" s="93">
        <v>172908000</v>
      </c>
      <c r="T249" s="207" t="s">
        <v>4893</v>
      </c>
      <c r="U249" s="207">
        <v>1086</v>
      </c>
      <c r="V249" s="111">
        <v>317.55</v>
      </c>
      <c r="W249" s="111">
        <f t="shared" si="67"/>
        <v>344859.3</v>
      </c>
      <c r="X249" s="97" t="s">
        <v>452</v>
      </c>
      <c r="AH249" s="97">
        <v>229</v>
      </c>
      <c r="AI249" s="111" t="s">
        <v>5883</v>
      </c>
      <c r="AJ249" s="111">
        <v>-341847876.93843603</v>
      </c>
      <c r="AK249" s="97">
        <v>1</v>
      </c>
      <c r="AL249" s="20">
        <f t="shared" si="74"/>
        <v>67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67"/>
        <v>899889.07200000004</v>
      </c>
      <c r="X250" s="97" t="s">
        <v>452</v>
      </c>
      <c r="AH250" s="97">
        <v>230</v>
      </c>
      <c r="AI250" s="111" t="s">
        <v>5896</v>
      </c>
      <c r="AJ250" s="111">
        <v>100000000</v>
      </c>
      <c r="AK250" s="97">
        <v>0</v>
      </c>
      <c r="AL250" s="20">
        <f t="shared" si="74"/>
        <v>66</v>
      </c>
      <c r="AM250" s="115"/>
      <c r="AN250" s="20" t="s">
        <v>5897</v>
      </c>
    </row>
    <row r="251" spans="7:46" ht="30">
      <c r="G251" s="207" t="s">
        <v>5694</v>
      </c>
      <c r="H251" s="111">
        <v>14780983.183526</v>
      </c>
      <c r="O251" t="s">
        <v>25</v>
      </c>
      <c r="Q251" s="97" t="s">
        <v>4208</v>
      </c>
      <c r="R251" s="93">
        <v>247393</v>
      </c>
      <c r="S251" t="s">
        <v>25</v>
      </c>
      <c r="T251" s="207" t="s">
        <v>4901</v>
      </c>
      <c r="U251" s="207">
        <v>1145</v>
      </c>
      <c r="V251" s="111">
        <v>325.44</v>
      </c>
      <c r="W251" s="111">
        <f t="shared" si="67"/>
        <v>372628.8</v>
      </c>
      <c r="X251" s="97" t="s">
        <v>452</v>
      </c>
      <c r="Y251" t="s">
        <v>25</v>
      </c>
      <c r="AH251" s="97">
        <v>231</v>
      </c>
      <c r="AI251" s="111" t="s">
        <v>5896</v>
      </c>
      <c r="AJ251" s="111">
        <v>-100000000</v>
      </c>
      <c r="AK251" s="97">
        <v>1</v>
      </c>
      <c r="AL251" s="20">
        <f t="shared" si="74"/>
        <v>66</v>
      </c>
      <c r="AM251" s="115"/>
      <c r="AN251" s="264" t="s">
        <v>5898</v>
      </c>
    </row>
    <row r="252" spans="7:46">
      <c r="G252" s="207" t="s">
        <v>5697</v>
      </c>
      <c r="H252" s="111">
        <v>17804396.448481999</v>
      </c>
      <c r="Q252" s="97" t="s">
        <v>4207</v>
      </c>
      <c r="R252" s="93">
        <v>6780000</v>
      </c>
      <c r="T252" s="207" t="s">
        <v>4909</v>
      </c>
      <c r="U252" s="207">
        <v>20153</v>
      </c>
      <c r="V252" s="111">
        <v>322</v>
      </c>
      <c r="W252" s="111">
        <f t="shared" si="67"/>
        <v>6489266</v>
      </c>
      <c r="X252" s="97" t="s">
        <v>452</v>
      </c>
      <c r="AH252" s="97">
        <v>232</v>
      </c>
      <c r="AI252" s="111" t="s">
        <v>5899</v>
      </c>
      <c r="AJ252" s="111">
        <v>90000000</v>
      </c>
      <c r="AK252" s="97">
        <v>0</v>
      </c>
      <c r="AL252" s="20">
        <f t="shared" si="74"/>
        <v>65</v>
      </c>
      <c r="AM252" s="115"/>
      <c r="AN252" s="20"/>
    </row>
    <row r="253" spans="7:46" ht="30">
      <c r="G253" s="207" t="s">
        <v>5701</v>
      </c>
      <c r="H253" s="111">
        <v>11538335.631417999</v>
      </c>
      <c r="Q253" s="97" t="s">
        <v>4533</v>
      </c>
      <c r="R253" s="93">
        <v>-4000000</v>
      </c>
      <c r="T253" s="207" t="s">
        <v>4919</v>
      </c>
      <c r="U253" s="207">
        <v>93720</v>
      </c>
      <c r="V253" s="111">
        <v>325.435</v>
      </c>
      <c r="W253" s="111">
        <f t="shared" si="67"/>
        <v>30499768.199999999</v>
      </c>
      <c r="X253" s="97" t="s">
        <v>1071</v>
      </c>
      <c r="AH253" s="97">
        <v>233</v>
      </c>
      <c r="AI253" s="111" t="s">
        <v>5899</v>
      </c>
      <c r="AJ253" s="111">
        <v>-90000000</v>
      </c>
      <c r="AK253" s="97">
        <v>1</v>
      </c>
      <c r="AL253" s="20">
        <f t="shared" si="74"/>
        <v>65</v>
      </c>
      <c r="AM253" s="115"/>
      <c r="AN253" s="264" t="s">
        <v>5900</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67"/>
        <v>6799964.3250000002</v>
      </c>
      <c r="X254" s="97" t="s">
        <v>744</v>
      </c>
      <c r="AH254" s="97">
        <v>234</v>
      </c>
      <c r="AI254" s="111" t="s">
        <v>5901</v>
      </c>
      <c r="AJ254" s="111">
        <v>30000000</v>
      </c>
      <c r="AK254" s="97">
        <v>0</v>
      </c>
      <c r="AL254" s="20">
        <f t="shared" si="74"/>
        <v>64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5901</v>
      </c>
      <c r="AJ255" s="111">
        <v>-30000000</v>
      </c>
      <c r="AK255" s="97">
        <v>3</v>
      </c>
      <c r="AL255" s="20">
        <f t="shared" si="74"/>
        <v>64</v>
      </c>
      <c r="AM255" s="115"/>
      <c r="AN255" s="264" t="s">
        <v>5902</v>
      </c>
    </row>
    <row r="256" spans="7:46">
      <c r="G256" s="207" t="s">
        <v>5714</v>
      </c>
      <c r="H256" s="111">
        <v>6822803.9080700008</v>
      </c>
      <c r="Q256" s="97" t="s">
        <v>4564</v>
      </c>
      <c r="R256" s="93">
        <v>19663646</v>
      </c>
      <c r="T256" s="207" t="s">
        <v>4934</v>
      </c>
      <c r="U256" s="207">
        <v>6750</v>
      </c>
      <c r="V256" s="111">
        <v>339.3</v>
      </c>
      <c r="W256" s="111">
        <f t="shared" si="67"/>
        <v>2290275</v>
      </c>
      <c r="X256" s="97" t="s">
        <v>744</v>
      </c>
      <c r="AH256" s="97">
        <v>236</v>
      </c>
      <c r="AI256" s="111" t="s">
        <v>5918</v>
      </c>
      <c r="AJ256" s="111">
        <v>50000000</v>
      </c>
      <c r="AK256" s="97">
        <v>1</v>
      </c>
      <c r="AL256" s="20">
        <f t="shared" si="74"/>
        <v>61</v>
      </c>
      <c r="AM256" s="115"/>
      <c r="AN256" s="264"/>
    </row>
    <row r="257" spans="7:45" ht="30">
      <c r="G257" s="207" t="s">
        <v>5718</v>
      </c>
      <c r="H257" s="111">
        <v>330889.73324399994</v>
      </c>
      <c r="Q257" s="97" t="s">
        <v>4585</v>
      </c>
      <c r="R257" s="93">
        <v>4374525</v>
      </c>
      <c r="T257" s="207" t="s">
        <v>4942</v>
      </c>
      <c r="U257" s="207">
        <v>1850</v>
      </c>
      <c r="V257" s="111">
        <v>334.10050000000001</v>
      </c>
      <c r="W257" s="111">
        <f t="shared" si="67"/>
        <v>618085.92500000005</v>
      </c>
      <c r="X257" s="97" t="s">
        <v>452</v>
      </c>
      <c r="Y257" t="s">
        <v>25</v>
      </c>
      <c r="AH257" s="97">
        <v>237</v>
      </c>
      <c r="AI257" s="111" t="s">
        <v>5922</v>
      </c>
      <c r="AJ257" s="111">
        <v>-50000000</v>
      </c>
      <c r="AK257" s="97">
        <v>5</v>
      </c>
      <c r="AL257" s="20">
        <f t="shared" si="74"/>
        <v>60</v>
      </c>
      <c r="AM257" s="115"/>
      <c r="AN257" s="264" t="s">
        <v>5923</v>
      </c>
      <c r="AP257" t="s">
        <v>25</v>
      </c>
    </row>
    <row r="258" spans="7:45">
      <c r="G258" s="207" t="s">
        <v>5728</v>
      </c>
      <c r="H258" s="111">
        <v>6610318.1610199995</v>
      </c>
      <c r="K258" t="s">
        <v>25</v>
      </c>
      <c r="P258" t="s">
        <v>25</v>
      </c>
      <c r="Q258" s="97" t="s">
        <v>4596</v>
      </c>
      <c r="R258" s="93">
        <v>6550580</v>
      </c>
      <c r="T258" s="207" t="s">
        <v>4942</v>
      </c>
      <c r="U258" s="207">
        <v>-1194</v>
      </c>
      <c r="V258" s="111">
        <v>335</v>
      </c>
      <c r="W258" s="111">
        <f t="shared" si="67"/>
        <v>-399990</v>
      </c>
      <c r="X258" s="97" t="s">
        <v>4409</v>
      </c>
      <c r="Y258" t="s">
        <v>25</v>
      </c>
      <c r="AH258" s="97">
        <v>238</v>
      </c>
      <c r="AI258" s="111" t="s">
        <v>6456</v>
      </c>
      <c r="AJ258" s="111">
        <v>10000</v>
      </c>
      <c r="AK258" s="97">
        <v>1</v>
      </c>
      <c r="AL258" s="20">
        <f t="shared" si="74"/>
        <v>55</v>
      </c>
      <c r="AM258" s="115"/>
      <c r="AN258" s="264"/>
    </row>
    <row r="259" spans="7:45" ht="15" customHeight="1">
      <c r="G259" s="207" t="s">
        <v>5729</v>
      </c>
      <c r="H259" s="111">
        <v>710713.17725199996</v>
      </c>
      <c r="Q259" s="97" t="s">
        <v>4598</v>
      </c>
      <c r="R259" s="93">
        <v>6650895</v>
      </c>
      <c r="T259" s="207" t="s">
        <v>4942</v>
      </c>
      <c r="U259" s="207">
        <v>1194</v>
      </c>
      <c r="V259" s="111">
        <v>335</v>
      </c>
      <c r="W259" s="111">
        <f t="shared" si="67"/>
        <v>399990</v>
      </c>
      <c r="X259" s="97" t="s">
        <v>744</v>
      </c>
      <c r="AH259" s="97">
        <v>239</v>
      </c>
      <c r="AI259" s="111" t="s">
        <v>6461</v>
      </c>
      <c r="AJ259" s="111">
        <v>50000000</v>
      </c>
      <c r="AK259" s="97">
        <v>43</v>
      </c>
      <c r="AL259" s="20">
        <f t="shared" si="74"/>
        <v>54</v>
      </c>
      <c r="AM259" s="115"/>
      <c r="AN259" s="264" t="s">
        <v>5354</v>
      </c>
    </row>
    <row r="260" spans="7:45">
      <c r="G260" s="207" t="s">
        <v>5731</v>
      </c>
      <c r="H260" s="111">
        <v>81025</v>
      </c>
      <c r="J260" t="s">
        <v>25</v>
      </c>
      <c r="Q260" s="97" t="s">
        <v>4614</v>
      </c>
      <c r="R260" s="93">
        <v>2145814</v>
      </c>
      <c r="T260" s="207" t="s">
        <v>4949</v>
      </c>
      <c r="U260" s="207">
        <v>433</v>
      </c>
      <c r="V260" s="111">
        <v>345.68</v>
      </c>
      <c r="W260" s="111">
        <f t="shared" si="67"/>
        <v>149679.44</v>
      </c>
      <c r="X260" s="97" t="s">
        <v>744</v>
      </c>
      <c r="AH260" s="97">
        <v>240</v>
      </c>
      <c r="AI260" s="111" t="s">
        <v>6550</v>
      </c>
      <c r="AJ260" s="111">
        <v>50000000</v>
      </c>
      <c r="AK260" s="97">
        <v>10</v>
      </c>
      <c r="AL260" s="20">
        <f t="shared" si="74"/>
        <v>11</v>
      </c>
      <c r="AM260" s="115"/>
      <c r="AN260" s="264" t="s">
        <v>6551</v>
      </c>
    </row>
    <row r="261" spans="7:45">
      <c r="G261" s="207" t="s">
        <v>5734</v>
      </c>
      <c r="H261" s="111">
        <v>219696.613128</v>
      </c>
      <c r="K261" t="s">
        <v>25</v>
      </c>
      <c r="Q261" s="97" t="s">
        <v>4625</v>
      </c>
      <c r="R261" s="93">
        <v>4369730</v>
      </c>
      <c r="T261" s="207" t="s">
        <v>4953</v>
      </c>
      <c r="U261" s="207">
        <v>55459</v>
      </c>
      <c r="V261" s="111">
        <v>362.51978000000003</v>
      </c>
      <c r="W261" s="111">
        <f t="shared" si="67"/>
        <v>20104984.479020003</v>
      </c>
      <c r="X261" s="97" t="s">
        <v>452</v>
      </c>
      <c r="AH261" s="97">
        <v>241</v>
      </c>
      <c r="AI261" s="111" t="s">
        <v>6564</v>
      </c>
      <c r="AJ261" s="111">
        <v>8200000</v>
      </c>
      <c r="AK261" s="97">
        <v>1</v>
      </c>
      <c r="AL261" s="20">
        <f t="shared" si="74"/>
        <v>1</v>
      </c>
      <c r="AM261" s="115"/>
      <c r="AN261" s="264" t="s">
        <v>6551</v>
      </c>
      <c r="AR261" t="s">
        <v>25</v>
      </c>
      <c r="AS261" t="s">
        <v>25</v>
      </c>
    </row>
    <row r="262" spans="7:45">
      <c r="G262" s="207" t="s">
        <v>5735</v>
      </c>
      <c r="H262" s="111">
        <v>6035472.4070199998</v>
      </c>
      <c r="P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4"/>
    </row>
    <row r="263" spans="7:45" ht="17.25" customHeight="1">
      <c r="G263" s="207" t="s">
        <v>5737</v>
      </c>
      <c r="H263" s="111">
        <v>984486.34963200008</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4"/>
      <c r="AS263" t="s">
        <v>25</v>
      </c>
    </row>
    <row r="264" spans="7:45">
      <c r="G264" s="207" t="s">
        <v>5739</v>
      </c>
      <c r="H264" s="111">
        <v>2143469.938015</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4"/>
    </row>
    <row r="265" spans="7:45">
      <c r="G265" s="207" t="s">
        <v>5751</v>
      </c>
      <c r="H265" s="111">
        <v>3085460.5177150001</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5753</v>
      </c>
      <c r="H266" s="111">
        <v>8261456.790906</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5760</v>
      </c>
      <c r="H268" s="111">
        <v>2893243.5730909999</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5762</v>
      </c>
      <c r="H269" s="111">
        <v>94992058.939007998</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5768</v>
      </c>
      <c r="H270" s="111">
        <v>275021.925965</v>
      </c>
      <c r="J270" t="s">
        <v>25</v>
      </c>
      <c r="Q270" s="97" t="s">
        <v>4786</v>
      </c>
      <c r="R270" s="93">
        <v>20193916</v>
      </c>
      <c r="T270" s="207" t="s">
        <v>4986</v>
      </c>
      <c r="U270" s="207">
        <v>2546</v>
      </c>
      <c r="V270" s="111">
        <v>393</v>
      </c>
      <c r="W270" s="111">
        <f t="shared" si="67"/>
        <v>1000578</v>
      </c>
      <c r="X270" s="36" t="s">
        <v>452</v>
      </c>
      <c r="AH270" s="97"/>
      <c r="AI270" s="97"/>
      <c r="AJ270" s="93">
        <f>SUM(AJ20:AJ269)</f>
        <v>546680949.06156397</v>
      </c>
      <c r="AK270" s="97"/>
      <c r="AL270" s="97">
        <v>0</v>
      </c>
      <c r="AM270" s="93">
        <f>SUM(AM20:AM269)</f>
        <v>477410315246</v>
      </c>
      <c r="AN270" s="93">
        <f>AM270*AN273/31</f>
        <v>256677345.94209945</v>
      </c>
    </row>
    <row r="271" spans="7:45">
      <c r="G271" s="207" t="s">
        <v>5775</v>
      </c>
      <c r="H271" s="111">
        <v>327451.9203</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5787</v>
      </c>
      <c r="H272" s="111">
        <v>260081.94096800001</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5798</v>
      </c>
      <c r="H273" s="111">
        <v>2909284.5308940001</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5799</v>
      </c>
      <c r="H274" s="111">
        <v>37723205.094084002</v>
      </c>
      <c r="J274" t="s">
        <v>25</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t="s">
        <v>5800</v>
      </c>
      <c r="H275" s="111">
        <v>1500094.75168</v>
      </c>
      <c r="Q275" s="97" t="s">
        <v>4942</v>
      </c>
      <c r="R275" s="93">
        <v>400000</v>
      </c>
      <c r="S275" t="s">
        <v>25</v>
      </c>
      <c r="T275" s="207" t="s">
        <v>5008</v>
      </c>
      <c r="U275" s="207">
        <v>1285</v>
      </c>
      <c r="V275" s="111">
        <v>388.84</v>
      </c>
      <c r="W275" s="111">
        <f t="shared" si="67"/>
        <v>499659.39999999997</v>
      </c>
      <c r="X275" s="36" t="s">
        <v>452</v>
      </c>
      <c r="AH275" s="97"/>
      <c r="AI275" s="97" t="s">
        <v>4045</v>
      </c>
      <c r="AJ275" s="93">
        <f>AJ270+AN270</f>
        <v>803358295.00366342</v>
      </c>
      <c r="AK275" s="97"/>
      <c r="AL275" s="97"/>
      <c r="AM275" s="97"/>
      <c r="AN275" s="97"/>
    </row>
    <row r="276" spans="7:40">
      <c r="G276" s="207" t="s">
        <v>5801</v>
      </c>
      <c r="H276" s="111">
        <v>7230628.4378079996</v>
      </c>
      <c r="Q276" s="97" t="s">
        <v>4949</v>
      </c>
      <c r="R276" s="93">
        <v>150000</v>
      </c>
      <c r="T276" s="207" t="s">
        <v>4999</v>
      </c>
      <c r="U276" s="207">
        <v>1924</v>
      </c>
      <c r="V276" s="111">
        <v>386.69600000000003</v>
      </c>
      <c r="W276" s="111">
        <f t="shared" si="67"/>
        <v>744003.10400000005</v>
      </c>
      <c r="X276" s="36" t="s">
        <v>452</v>
      </c>
      <c r="AI276" t="s">
        <v>4048</v>
      </c>
      <c r="AJ276" s="112">
        <f>SUM(N42:N54)</f>
        <v>5195935269</v>
      </c>
      <c r="AM276" t="s">
        <v>25</v>
      </c>
    </row>
    <row r="277" spans="7:40">
      <c r="G277" s="207" t="s">
        <v>5803</v>
      </c>
      <c r="H277" s="111">
        <v>29767389.390390001</v>
      </c>
      <c r="J277" t="s">
        <v>25</v>
      </c>
      <c r="Q277" s="97" t="s">
        <v>4977</v>
      </c>
      <c r="R277" s="93">
        <v>-144950</v>
      </c>
      <c r="T277" s="207" t="s">
        <v>5024</v>
      </c>
      <c r="U277" s="207">
        <v>165</v>
      </c>
      <c r="V277" s="111">
        <v>393.5</v>
      </c>
      <c r="W277" s="111">
        <f t="shared" si="67"/>
        <v>64927.5</v>
      </c>
      <c r="X277" s="36" t="s">
        <v>452</v>
      </c>
      <c r="AI277" t="s">
        <v>4118</v>
      </c>
      <c r="AJ277" s="112">
        <f>AJ276-AJ270</f>
        <v>4649254319.9384365</v>
      </c>
      <c r="AM277" t="s">
        <v>25</v>
      </c>
    </row>
    <row r="278" spans="7:40" ht="30">
      <c r="G278" s="207" t="s">
        <v>5805</v>
      </c>
      <c r="H278" s="111">
        <v>151560.25597</v>
      </c>
      <c r="Q278" s="97" t="s">
        <v>5002</v>
      </c>
      <c r="R278" s="93">
        <v>320000</v>
      </c>
      <c r="T278" s="207" t="s">
        <v>5029</v>
      </c>
      <c r="U278" s="207">
        <v>-34859</v>
      </c>
      <c r="V278" s="111">
        <v>403.1585</v>
      </c>
      <c r="W278" s="111">
        <f t="shared" si="67"/>
        <v>-14053702.1515</v>
      </c>
      <c r="X278" s="36" t="s">
        <v>5032</v>
      </c>
      <c r="AI278" t="s">
        <v>928</v>
      </c>
      <c r="AJ278" s="112">
        <f>AN270</f>
        <v>256677345.94209945</v>
      </c>
      <c r="AN278" t="s">
        <v>25</v>
      </c>
    </row>
    <row r="279" spans="7:40">
      <c r="G279" s="207" t="s">
        <v>5806</v>
      </c>
      <c r="H279" s="111">
        <v>481318.88078800001</v>
      </c>
      <c r="Q279" s="97" t="s">
        <v>5006</v>
      </c>
      <c r="R279" s="93">
        <v>500000</v>
      </c>
      <c r="S279" t="s">
        <v>25</v>
      </c>
      <c r="T279" s="207" t="s">
        <v>5000</v>
      </c>
      <c r="U279" s="207">
        <v>8476</v>
      </c>
      <c r="V279" s="111">
        <v>419.49900000000002</v>
      </c>
      <c r="W279" s="111">
        <f t="shared" si="67"/>
        <v>3555673.5240000002</v>
      </c>
      <c r="X279" s="36" t="s">
        <v>5038</v>
      </c>
      <c r="AI279" t="s">
        <v>4049</v>
      </c>
      <c r="AJ279" s="112">
        <f>AJ276-AJ275</f>
        <v>4392576973.9963369</v>
      </c>
      <c r="AN279" t="s">
        <v>25</v>
      </c>
    </row>
    <row r="280" spans="7:40">
      <c r="G280" s="207" t="s">
        <v>5809</v>
      </c>
      <c r="H280" s="111">
        <v>146277.56820000001</v>
      </c>
      <c r="Q280" s="97" t="s">
        <v>5050</v>
      </c>
      <c r="R280" s="93">
        <v>400000</v>
      </c>
      <c r="S280" t="s">
        <v>25</v>
      </c>
      <c r="T280" s="207" t="s">
        <v>5050</v>
      </c>
      <c r="U280" s="207">
        <v>903</v>
      </c>
      <c r="V280" s="111">
        <v>442.77379999999999</v>
      </c>
      <c r="W280" s="111">
        <f t="shared" si="67"/>
        <v>399824.7414</v>
      </c>
      <c r="X280" s="36" t="s">
        <v>744</v>
      </c>
      <c r="AM280" t="s">
        <v>25</v>
      </c>
    </row>
    <row r="281" spans="7:40">
      <c r="G281" s="207" t="s">
        <v>5822</v>
      </c>
      <c r="H281" s="111">
        <v>424693.40162399999</v>
      </c>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t="s">
        <v>5825</v>
      </c>
      <c r="H282" s="111">
        <v>558320.40202399995</v>
      </c>
      <c r="Q282" s="97" t="s">
        <v>5063</v>
      </c>
      <c r="R282" s="93">
        <v>300000</v>
      </c>
      <c r="T282" s="207" t="s">
        <v>5063</v>
      </c>
      <c r="U282" s="207">
        <v>671</v>
      </c>
      <c r="V282" s="111">
        <v>447</v>
      </c>
      <c r="W282" s="111">
        <f t="shared" si="76"/>
        <v>299937</v>
      </c>
      <c r="X282" s="36" t="s">
        <v>744</v>
      </c>
    </row>
    <row r="283" spans="7:40">
      <c r="G283" s="207" t="s">
        <v>5827</v>
      </c>
      <c r="H283" s="111">
        <v>207642.22201140001</v>
      </c>
      <c r="J283" t="s">
        <v>25</v>
      </c>
      <c r="O283" t="s">
        <v>25</v>
      </c>
      <c r="Q283" s="97" t="s">
        <v>5084</v>
      </c>
      <c r="R283" s="93">
        <v>250000</v>
      </c>
      <c r="T283" s="207" t="s">
        <v>5065</v>
      </c>
      <c r="U283" s="207">
        <v>7</v>
      </c>
      <c r="V283" s="111">
        <v>465.31200000000001</v>
      </c>
      <c r="W283" s="111">
        <f t="shared" si="76"/>
        <v>3257.1840000000002</v>
      </c>
      <c r="X283" s="36" t="s">
        <v>452</v>
      </c>
    </row>
    <row r="284" spans="7:40">
      <c r="G284" s="207" t="s">
        <v>5866</v>
      </c>
      <c r="H284" s="111">
        <v>637977.33504399995</v>
      </c>
      <c r="J284" t="s">
        <v>25</v>
      </c>
      <c r="Q284" s="97" t="s">
        <v>5117</v>
      </c>
      <c r="R284" s="93">
        <v>200000</v>
      </c>
      <c r="T284" s="207" t="s">
        <v>5069</v>
      </c>
      <c r="U284" s="207">
        <v>12950</v>
      </c>
      <c r="V284" s="111">
        <v>463.31599999999997</v>
      </c>
      <c r="W284" s="111">
        <f t="shared" si="76"/>
        <v>5999942.1999999993</v>
      </c>
      <c r="X284" s="36" t="s">
        <v>452</v>
      </c>
    </row>
    <row r="285" spans="7:40">
      <c r="G285" s="207" t="s">
        <v>5867</v>
      </c>
      <c r="H285" s="111">
        <v>466552.25632400002</v>
      </c>
      <c r="J285" t="s">
        <v>25</v>
      </c>
      <c r="Q285" s="97" t="s">
        <v>5149</v>
      </c>
      <c r="R285" s="93">
        <v>122000</v>
      </c>
      <c r="T285" s="207" t="s">
        <v>5071</v>
      </c>
      <c r="U285" s="207">
        <v>37</v>
      </c>
      <c r="V285" s="111">
        <v>463.315</v>
      </c>
      <c r="W285" s="111">
        <f t="shared" si="76"/>
        <v>17142.654999999999</v>
      </c>
      <c r="X285" s="36" t="s">
        <v>452</v>
      </c>
    </row>
    <row r="286" spans="7:40">
      <c r="G286" s="207" t="s">
        <v>5868</v>
      </c>
      <c r="H286" s="111">
        <v>189134.85153000001</v>
      </c>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5918</v>
      </c>
      <c r="H288" s="111">
        <v>259993.58394100002</v>
      </c>
      <c r="J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207" t="s">
        <v>6470</v>
      </c>
      <c r="H290" s="111">
        <v>560534.38387200003</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207" t="s">
        <v>6479</v>
      </c>
      <c r="H291" s="111">
        <v>581484.96802499995</v>
      </c>
      <c r="J291" t="s">
        <v>25</v>
      </c>
      <c r="O291" t="s">
        <v>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207" t="s">
        <v>6482</v>
      </c>
      <c r="H292" s="111">
        <v>2136964.3409779998</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G293" s="207" t="s">
        <v>6486</v>
      </c>
      <c r="H293" s="111">
        <v>593783.22629999998</v>
      </c>
      <c r="Q293" s="97" t="s">
        <v>5502</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G294" s="207" t="s">
        <v>6490</v>
      </c>
      <c r="H294" s="111">
        <v>469469.96222000004</v>
      </c>
      <c r="Q294" s="97" t="s">
        <v>5511</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G295" s="207" t="s">
        <v>6568</v>
      </c>
      <c r="H295" s="111">
        <v>15777944</v>
      </c>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G296" s="207"/>
      <c r="H296" s="111"/>
      <c r="Q296" s="97" t="s">
        <v>5602</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G297" s="207"/>
      <c r="H297" s="111"/>
      <c r="J297" t="s">
        <v>25</v>
      </c>
      <c r="Q297" s="97" t="s">
        <v>5602</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G298" s="207"/>
      <c r="H298" s="111"/>
      <c r="Q298" s="97" t="s">
        <v>5626</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5856</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5883</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G302" s="207"/>
      <c r="H302" s="111"/>
      <c r="Q302" s="97" t="s">
        <v>5905</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G303" s="207"/>
      <c r="H303" s="1"/>
      <c r="Q303" s="97" t="s">
        <v>5906</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G304" s="207"/>
      <c r="H304" s="1"/>
      <c r="Q304" s="97" t="s">
        <v>6456</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7:40">
      <c r="G305" s="207"/>
      <c r="H305" s="1"/>
      <c r="Q305" s="97" t="s">
        <v>6482</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7:40">
      <c r="G306" s="207" t="s">
        <v>6</v>
      </c>
      <c r="H306" s="1">
        <f>SUM(H182:H305)</f>
        <v>1467373281.2390366</v>
      </c>
      <c r="O306" t="s">
        <v>25</v>
      </c>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7:40">
      <c r="G307" s="286"/>
      <c r="H307" s="1"/>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7:40">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7:40">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7:40">
      <c r="G310" s="94"/>
      <c r="H310" s="9" t="s">
        <v>452</v>
      </c>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7:40">
      <c r="G311" s="94"/>
      <c r="H311" s="9" t="s">
        <v>744</v>
      </c>
      <c r="P311" t="s">
        <v>25</v>
      </c>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7:40">
      <c r="H314" s="9" t="s">
        <v>5362</v>
      </c>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7:40">
      <c r="H315" s="9" t="s">
        <v>5532</v>
      </c>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7:40">
      <c r="H317" s="287" t="s">
        <v>744</v>
      </c>
      <c r="Q317" s="97" t="s">
        <v>4554</v>
      </c>
      <c r="R317" s="93">
        <v>2269000</v>
      </c>
      <c r="T317" s="187" t="s">
        <v>5245</v>
      </c>
      <c r="U317" s="187">
        <v>63259</v>
      </c>
      <c r="V317" s="186">
        <v>632.31960000000004</v>
      </c>
      <c r="W317" s="186">
        <f t="shared" si="76"/>
        <v>39999905.576400004</v>
      </c>
      <c r="X317" s="263" t="s">
        <v>1071</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4563</v>
      </c>
      <c r="R318" s="93">
        <v>25071612</v>
      </c>
      <c r="T318" s="19" t="s">
        <v>5249</v>
      </c>
      <c r="U318" s="19">
        <v>-1278</v>
      </c>
      <c r="V318" s="115">
        <v>625.98</v>
      </c>
      <c r="W318" s="115">
        <f t="shared" si="76"/>
        <v>-800002.44000000006</v>
      </c>
      <c r="X318" s="264" t="s">
        <v>5250</v>
      </c>
      <c r="AH318" s="119">
        <v>32</v>
      </c>
      <c r="AI318" s="119" t="s">
        <v>4627</v>
      </c>
      <c r="AJ318" s="77">
        <v>288936</v>
      </c>
      <c r="AK318" s="119">
        <v>3</v>
      </c>
      <c r="AL318" s="119">
        <f t="shared" si="80"/>
        <v>783</v>
      </c>
      <c r="AM318" s="119">
        <f t="shared" si="81"/>
        <v>226236888</v>
      </c>
      <c r="AN318" s="201" t="s">
        <v>4638</v>
      </c>
    </row>
    <row r="319" spans="7:40">
      <c r="H319" s="9" t="s">
        <v>5535</v>
      </c>
      <c r="Q319" s="97" t="s">
        <v>4564</v>
      </c>
      <c r="R319" s="93">
        <v>42236984</v>
      </c>
      <c r="T319" s="19" t="s">
        <v>5254</v>
      </c>
      <c r="U319" s="19">
        <v>32049</v>
      </c>
      <c r="V319" s="115">
        <v>624.04600000000005</v>
      </c>
      <c r="W319" s="115">
        <f t="shared" si="76"/>
        <v>20000050.254000001</v>
      </c>
      <c r="X319" s="264" t="s">
        <v>5119</v>
      </c>
      <c r="Z319" t="s">
        <v>25</v>
      </c>
      <c r="AH319" s="119">
        <v>33</v>
      </c>
      <c r="AI319" s="119" t="s">
        <v>4636</v>
      </c>
      <c r="AJ319" s="77">
        <v>17962491</v>
      </c>
      <c r="AK319" s="119">
        <v>1</v>
      </c>
      <c r="AL319" s="119">
        <f t="shared" si="80"/>
        <v>780</v>
      </c>
      <c r="AM319" s="119">
        <f t="shared" si="81"/>
        <v>14010742980</v>
      </c>
      <c r="AN319" s="119" t="s">
        <v>4643</v>
      </c>
    </row>
    <row r="320" spans="7:40" ht="30">
      <c r="H320" s="9" t="s">
        <v>5563</v>
      </c>
      <c r="Q320" s="97" t="s">
        <v>4585</v>
      </c>
      <c r="R320" s="93">
        <v>19663646</v>
      </c>
      <c r="T320" s="19" t="s">
        <v>5261</v>
      </c>
      <c r="U320" s="19">
        <v>45094</v>
      </c>
      <c r="V320" s="115">
        <v>614.13559759999998</v>
      </c>
      <c r="W320" s="115">
        <f t="shared" si="76"/>
        <v>27693830.6381744</v>
      </c>
      <c r="X320" s="264" t="s">
        <v>5263</v>
      </c>
      <c r="Y320" t="s">
        <v>25</v>
      </c>
      <c r="AH320" s="119">
        <v>34</v>
      </c>
      <c r="AI320" s="119" t="s">
        <v>3668</v>
      </c>
      <c r="AJ320" s="77">
        <v>18363511</v>
      </c>
      <c r="AK320" s="119">
        <v>1</v>
      </c>
      <c r="AL320" s="119">
        <f t="shared" si="80"/>
        <v>779</v>
      </c>
      <c r="AM320" s="119">
        <f t="shared" si="81"/>
        <v>14305175069</v>
      </c>
      <c r="AN320" s="119" t="s">
        <v>4643</v>
      </c>
    </row>
    <row r="321" spans="8:44" ht="30">
      <c r="H321" s="287"/>
      <c r="Q321" s="97" t="s">
        <v>4596</v>
      </c>
      <c r="R321" s="93">
        <v>4374525</v>
      </c>
      <c r="T321" s="19" t="s">
        <v>5288</v>
      </c>
      <c r="U321" s="19">
        <v>-11804</v>
      </c>
      <c r="V321" s="115">
        <v>762.46640000000002</v>
      </c>
      <c r="W321" s="115">
        <f t="shared" si="76"/>
        <v>-9000153.3856000006</v>
      </c>
      <c r="X321" s="264" t="s">
        <v>5290</v>
      </c>
      <c r="AH321" s="119">
        <v>35</v>
      </c>
      <c r="AI321" s="119" t="s">
        <v>4648</v>
      </c>
      <c r="AJ321" s="77">
        <v>23622417</v>
      </c>
      <c r="AK321" s="119">
        <v>5</v>
      </c>
      <c r="AL321" s="119">
        <f t="shared" si="80"/>
        <v>778</v>
      </c>
      <c r="AM321" s="119">
        <f t="shared" si="81"/>
        <v>18378240426</v>
      </c>
      <c r="AN321" s="119" t="s">
        <v>4650</v>
      </c>
    </row>
    <row r="322" spans="8:44">
      <c r="Q322" s="97" t="s">
        <v>4598</v>
      </c>
      <c r="R322" s="93">
        <v>6550580</v>
      </c>
      <c r="T322" s="19" t="s">
        <v>5332</v>
      </c>
      <c r="U322" s="19">
        <v>844</v>
      </c>
      <c r="V322" s="115">
        <v>830</v>
      </c>
      <c r="W322" s="115">
        <f t="shared" si="76"/>
        <v>700520</v>
      </c>
      <c r="X322" s="264" t="s">
        <v>4409</v>
      </c>
      <c r="Y322" t="s">
        <v>25</v>
      </c>
      <c r="AH322" s="119">
        <v>36</v>
      </c>
      <c r="AI322" s="119" t="s">
        <v>4662</v>
      </c>
      <c r="AJ322" s="77">
        <v>82496108</v>
      </c>
      <c r="AK322" s="119">
        <v>1</v>
      </c>
      <c r="AL322" s="119">
        <f t="shared" si="80"/>
        <v>773</v>
      </c>
      <c r="AM322" s="119">
        <f t="shared" si="81"/>
        <v>63769491484</v>
      </c>
      <c r="AN322" s="119" t="s">
        <v>4665</v>
      </c>
    </row>
    <row r="323" spans="8:44">
      <c r="Q323" s="97" t="s">
        <v>4614</v>
      </c>
      <c r="R323" s="93">
        <v>7054895</v>
      </c>
      <c r="T323" s="19" t="s">
        <v>5336</v>
      </c>
      <c r="U323" s="19">
        <v>8662</v>
      </c>
      <c r="V323" s="115">
        <v>832.57011999999997</v>
      </c>
      <c r="W323" s="115">
        <f t="shared" si="76"/>
        <v>7211722.3794399993</v>
      </c>
      <c r="X323" s="264" t="s">
        <v>5114</v>
      </c>
      <c r="Z323" t="s">
        <v>25</v>
      </c>
      <c r="AA323" t="s">
        <v>25</v>
      </c>
      <c r="AH323" s="119">
        <v>37</v>
      </c>
      <c r="AI323" s="119" t="s">
        <v>4664</v>
      </c>
      <c r="AJ323" s="77">
        <v>74657561</v>
      </c>
      <c r="AK323" s="119">
        <v>16</v>
      </c>
      <c r="AL323" s="119">
        <f t="shared" si="80"/>
        <v>772</v>
      </c>
      <c r="AM323" s="119">
        <f t="shared" si="81"/>
        <v>57635637092</v>
      </c>
      <c r="AN323" s="119" t="s">
        <v>4670</v>
      </c>
    </row>
    <row r="324" spans="8:44" ht="30">
      <c r="Q324" s="97" t="s">
        <v>4625</v>
      </c>
      <c r="R324" s="93">
        <v>2145814</v>
      </c>
      <c r="S324" s="112"/>
      <c r="T324" s="19" t="s">
        <v>5337</v>
      </c>
      <c r="U324" s="19">
        <v>10253</v>
      </c>
      <c r="V324" s="115">
        <v>827.2568</v>
      </c>
      <c r="W324" s="115">
        <f t="shared" si="76"/>
        <v>8481863.9704</v>
      </c>
      <c r="X324" s="264" t="s">
        <v>5340</v>
      </c>
      <c r="AH324" s="97">
        <v>38</v>
      </c>
      <c r="AI324" s="97" t="s">
        <v>4735</v>
      </c>
      <c r="AJ324" s="115">
        <v>665000</v>
      </c>
      <c r="AK324" s="97">
        <v>0</v>
      </c>
      <c r="AL324" s="97">
        <f t="shared" si="80"/>
        <v>756</v>
      </c>
      <c r="AM324" s="20">
        <f t="shared" si="81"/>
        <v>502740000</v>
      </c>
      <c r="AN324" s="97"/>
    </row>
    <row r="325" spans="8:44">
      <c r="Q325" s="97" t="s">
        <v>4627</v>
      </c>
      <c r="R325" s="93">
        <v>4369730</v>
      </c>
      <c r="T325" s="232" t="s">
        <v>5341</v>
      </c>
      <c r="U325" s="232">
        <v>-33077</v>
      </c>
      <c r="V325" s="233">
        <v>786.02973999999995</v>
      </c>
      <c r="W325" s="233">
        <f t="shared" si="76"/>
        <v>-25999505.70998</v>
      </c>
      <c r="X325" s="272" t="s">
        <v>5344</v>
      </c>
      <c r="AH325" s="147">
        <v>39</v>
      </c>
      <c r="AI325" s="147" t="s">
        <v>4735</v>
      </c>
      <c r="AJ325" s="186">
        <v>665000</v>
      </c>
      <c r="AK325" s="147">
        <v>4</v>
      </c>
      <c r="AL325" s="192">
        <f t="shared" si="80"/>
        <v>756</v>
      </c>
      <c r="AM325" s="192">
        <f t="shared" si="81"/>
        <v>502740000</v>
      </c>
      <c r="AN325" s="192"/>
    </row>
    <row r="326" spans="8:44">
      <c r="Q326" s="97" t="s">
        <v>4636</v>
      </c>
      <c r="R326" s="93">
        <v>8739459</v>
      </c>
      <c r="T326" s="19" t="s">
        <v>5341</v>
      </c>
      <c r="U326" s="19">
        <v>-33077</v>
      </c>
      <c r="V326" s="115">
        <v>786.02973999999995</v>
      </c>
      <c r="W326" s="115">
        <f t="shared" si="76"/>
        <v>-25999505.70998</v>
      </c>
      <c r="X326" s="264" t="s">
        <v>5345</v>
      </c>
      <c r="Y326" t="s">
        <v>25</v>
      </c>
      <c r="AH326" s="20">
        <v>40</v>
      </c>
      <c r="AI326" s="20" t="s">
        <v>4744</v>
      </c>
      <c r="AJ326" s="115">
        <v>2000000</v>
      </c>
      <c r="AK326" s="20">
        <v>1</v>
      </c>
      <c r="AL326" s="97">
        <f t="shared" si="80"/>
        <v>752</v>
      </c>
      <c r="AM326" s="20">
        <f t="shared" si="81"/>
        <v>1504000000</v>
      </c>
      <c r="AN326" s="97"/>
    </row>
    <row r="327" spans="8:44">
      <c r="Q327" s="97" t="s">
        <v>3668</v>
      </c>
      <c r="R327" s="93">
        <v>6667654</v>
      </c>
      <c r="T327" s="19" t="s">
        <v>5341</v>
      </c>
      <c r="U327" s="19">
        <v>1983</v>
      </c>
      <c r="V327" s="115">
        <v>786.02973999999995</v>
      </c>
      <c r="W327" s="115">
        <f t="shared" si="76"/>
        <v>1558696.9744199999</v>
      </c>
      <c r="X327" s="264" t="s">
        <v>5114</v>
      </c>
      <c r="AH327" s="20">
        <v>41</v>
      </c>
      <c r="AI327" s="20" t="s">
        <v>4749</v>
      </c>
      <c r="AJ327" s="115">
        <v>-2060725</v>
      </c>
      <c r="AK327" s="20">
        <v>0</v>
      </c>
      <c r="AL327" s="97">
        <f t="shared" si="80"/>
        <v>751</v>
      </c>
      <c r="AM327" s="20">
        <f t="shared" ref="AM327:AM332" si="82">AJ327*AL327</f>
        <v>-1547604475</v>
      </c>
      <c r="AN327" s="97" t="s">
        <v>4750</v>
      </c>
    </row>
    <row r="328" spans="8:44">
      <c r="Q328" s="97" t="s">
        <v>4648</v>
      </c>
      <c r="R328" s="93">
        <v>8981245</v>
      </c>
      <c r="T328" s="232" t="s">
        <v>5346</v>
      </c>
      <c r="U328" s="232">
        <v>-119753</v>
      </c>
      <c r="V328" s="233">
        <v>800.81560000000002</v>
      </c>
      <c r="W328" s="233">
        <f t="shared" si="76"/>
        <v>-95900070.546800002</v>
      </c>
      <c r="X328" s="272" t="s">
        <v>5344</v>
      </c>
      <c r="AH328" s="147">
        <v>42</v>
      </c>
      <c r="AI328" s="147" t="s">
        <v>4749</v>
      </c>
      <c r="AJ328" s="186">
        <v>-433375</v>
      </c>
      <c r="AK328" s="147">
        <v>0</v>
      </c>
      <c r="AL328" s="147">
        <f t="shared" si="80"/>
        <v>751</v>
      </c>
      <c r="AM328" s="147">
        <f t="shared" si="82"/>
        <v>-325464625</v>
      </c>
      <c r="AN328" s="147" t="s">
        <v>4751</v>
      </c>
    </row>
    <row r="329" spans="8:44">
      <c r="Q329" s="97" t="s">
        <v>4651</v>
      </c>
      <c r="R329" s="93">
        <v>9181756</v>
      </c>
      <c r="T329" s="19" t="s">
        <v>5346</v>
      </c>
      <c r="U329" s="19">
        <v>-119753</v>
      </c>
      <c r="V329" s="115">
        <v>800.81560000000002</v>
      </c>
      <c r="W329" s="115">
        <f t="shared" si="76"/>
        <v>-95900070.546800002</v>
      </c>
      <c r="X329" s="264" t="s">
        <v>5345</v>
      </c>
      <c r="AA329" t="s">
        <v>25</v>
      </c>
      <c r="AH329" s="20">
        <v>43</v>
      </c>
      <c r="AI329" s="20" t="s">
        <v>4749</v>
      </c>
      <c r="AJ329" s="115">
        <v>28000000</v>
      </c>
      <c r="AK329" s="20">
        <v>1</v>
      </c>
      <c r="AL329" s="97">
        <f t="shared" si="80"/>
        <v>751</v>
      </c>
      <c r="AM329" s="20">
        <f t="shared" si="82"/>
        <v>21028000000</v>
      </c>
      <c r="AN329" s="97" t="s">
        <v>3875</v>
      </c>
    </row>
    <row r="330" spans="8:44">
      <c r="Q330" s="97" t="s">
        <v>4664</v>
      </c>
      <c r="R330" s="93">
        <v>11811208</v>
      </c>
      <c r="T330" s="19" t="s">
        <v>5346</v>
      </c>
      <c r="U330" s="19">
        <v>11291</v>
      </c>
      <c r="V330" s="115">
        <v>800.81560000000002</v>
      </c>
      <c r="W330" s="115">
        <f t="shared" si="76"/>
        <v>9042008.9396000002</v>
      </c>
      <c r="X330" s="264" t="s">
        <v>452</v>
      </c>
      <c r="AH330" s="20">
        <v>44</v>
      </c>
      <c r="AI330" s="20" t="s">
        <v>4758</v>
      </c>
      <c r="AJ330" s="115">
        <v>160000</v>
      </c>
      <c r="AK330" s="20">
        <v>0</v>
      </c>
      <c r="AL330" s="97">
        <f t="shared" si="80"/>
        <v>750</v>
      </c>
      <c r="AM330" s="20">
        <f t="shared" si="82"/>
        <v>120000000</v>
      </c>
      <c r="AN330" s="97"/>
    </row>
    <row r="331" spans="8:44">
      <c r="Q331" s="97" t="s">
        <v>4671</v>
      </c>
      <c r="R331" s="93">
        <v>41248054</v>
      </c>
      <c r="T331" s="187" t="s">
        <v>5347</v>
      </c>
      <c r="U331" s="187">
        <v>-35361</v>
      </c>
      <c r="V331" s="186">
        <v>818.697</v>
      </c>
      <c r="W331" s="186">
        <f t="shared" si="76"/>
        <v>-28949944.616999999</v>
      </c>
      <c r="X331" s="263" t="s">
        <v>5344</v>
      </c>
      <c r="Y331" t="s">
        <v>25</v>
      </c>
      <c r="AH331" s="147">
        <v>45</v>
      </c>
      <c r="AI331" s="147" t="s">
        <v>4758</v>
      </c>
      <c r="AJ331" s="186">
        <v>70000</v>
      </c>
      <c r="AK331" s="147">
        <v>9</v>
      </c>
      <c r="AL331" s="147">
        <f t="shared" si="80"/>
        <v>750</v>
      </c>
      <c r="AM331" s="147">
        <f t="shared" si="82"/>
        <v>52500000</v>
      </c>
      <c r="AN331" s="147"/>
    </row>
    <row r="332" spans="8:44">
      <c r="Q332" s="97" t="s">
        <v>4677</v>
      </c>
      <c r="R332" s="93">
        <v>37328780</v>
      </c>
      <c r="T332" s="19" t="s">
        <v>5347</v>
      </c>
      <c r="U332" s="19">
        <v>-35361</v>
      </c>
      <c r="V332" s="115">
        <v>818.697</v>
      </c>
      <c r="W332" s="115">
        <f t="shared" si="76"/>
        <v>-28949944.616999999</v>
      </c>
      <c r="X332" s="264" t="s">
        <v>5345</v>
      </c>
      <c r="Y332" t="s">
        <v>25</v>
      </c>
      <c r="Z332" t="s">
        <v>25</v>
      </c>
      <c r="AH332" s="20">
        <v>46</v>
      </c>
      <c r="AI332" s="20" t="s">
        <v>4765</v>
      </c>
      <c r="AJ332" s="115">
        <v>850000</v>
      </c>
      <c r="AK332" s="20">
        <v>0</v>
      </c>
      <c r="AL332" s="97">
        <f t="shared" si="80"/>
        <v>741</v>
      </c>
      <c r="AM332" s="20">
        <f t="shared" si="82"/>
        <v>629850000</v>
      </c>
      <c r="AN332" s="97"/>
      <c r="AR332" t="s">
        <v>25</v>
      </c>
    </row>
    <row r="333" spans="8:44">
      <c r="Q333" s="97" t="s">
        <v>4735</v>
      </c>
      <c r="R333" s="93">
        <v>50000000</v>
      </c>
      <c r="T333" s="19" t="s">
        <v>5347</v>
      </c>
      <c r="U333" s="19">
        <v>116</v>
      </c>
      <c r="V333" s="115">
        <v>818.697</v>
      </c>
      <c r="W333" s="115">
        <f t="shared" si="76"/>
        <v>94968.851999999999</v>
      </c>
      <c r="X333" s="264"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4744</v>
      </c>
      <c r="R334" s="93">
        <v>68656</v>
      </c>
      <c r="T334" s="19" t="s">
        <v>5351</v>
      </c>
      <c r="U334" s="19">
        <v>48633</v>
      </c>
      <c r="V334" s="115">
        <v>822.47199999999998</v>
      </c>
      <c r="W334" s="115">
        <f t="shared" si="76"/>
        <v>39999280.776000001</v>
      </c>
      <c r="X334" s="264" t="s">
        <v>5354</v>
      </c>
      <c r="AH334" s="192">
        <v>48</v>
      </c>
      <c r="AI334" s="192" t="s">
        <v>4778</v>
      </c>
      <c r="AJ334" s="193">
        <v>30000000</v>
      </c>
      <c r="AK334" s="192">
        <v>27</v>
      </c>
      <c r="AL334" s="192">
        <f t="shared" si="83"/>
        <v>737</v>
      </c>
      <c r="AM334" s="192">
        <f t="shared" si="84"/>
        <v>22110000000</v>
      </c>
      <c r="AN334" s="192" t="s">
        <v>4779</v>
      </c>
    </row>
    <row r="335" spans="8:44">
      <c r="Q335" s="97" t="s">
        <v>4744</v>
      </c>
      <c r="R335" s="93">
        <v>4000236</v>
      </c>
      <c r="T335" s="19" t="s">
        <v>5351</v>
      </c>
      <c r="U335" s="19">
        <v>3412</v>
      </c>
      <c r="V335" s="115">
        <v>822.47199999999998</v>
      </c>
      <c r="W335" s="115">
        <f t="shared" si="76"/>
        <v>2806274.4640000002</v>
      </c>
      <c r="X335" s="264" t="s">
        <v>5356</v>
      </c>
      <c r="AH335" s="20">
        <v>49</v>
      </c>
      <c r="AI335" s="20" t="s">
        <v>4851</v>
      </c>
      <c r="AJ335" s="115">
        <v>1100000</v>
      </c>
      <c r="AK335" s="20">
        <v>1</v>
      </c>
      <c r="AL335" s="20">
        <f t="shared" si="83"/>
        <v>710</v>
      </c>
      <c r="AM335" s="20">
        <f t="shared" si="84"/>
        <v>781000000</v>
      </c>
      <c r="AN335" s="20"/>
    </row>
    <row r="336" spans="8:44">
      <c r="Q336" s="97" t="s">
        <v>4749</v>
      </c>
      <c r="R336" s="93">
        <v>2250000</v>
      </c>
      <c r="T336" s="19" t="s">
        <v>5352</v>
      </c>
      <c r="U336" s="19">
        <v>1531</v>
      </c>
      <c r="V336" s="115">
        <v>869.82500000000005</v>
      </c>
      <c r="W336" s="115">
        <f t="shared" si="76"/>
        <v>1331702.075</v>
      </c>
      <c r="X336" s="264"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4"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3"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4"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4"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5439</v>
      </c>
      <c r="U341" s="19">
        <v>382</v>
      </c>
      <c r="V341" s="115">
        <v>1450.6065000000001</v>
      </c>
      <c r="W341" s="115">
        <f t="shared" si="76"/>
        <v>554131.68300000008</v>
      </c>
      <c r="X341" s="264"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5440</v>
      </c>
      <c r="U342" s="19">
        <v>50047</v>
      </c>
      <c r="V342" s="115">
        <v>1406.14</v>
      </c>
      <c r="W342" s="115">
        <f t="shared" si="76"/>
        <v>70373088.579999998</v>
      </c>
      <c r="X342" s="264"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5441</v>
      </c>
      <c r="U343" s="19">
        <v>846</v>
      </c>
      <c r="V343" s="115">
        <v>1441.6724569999999</v>
      </c>
      <c r="W343" s="115">
        <f t="shared" si="76"/>
        <v>1219654.8986219999</v>
      </c>
      <c r="X343" s="264"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5442</v>
      </c>
      <c r="U344" s="19">
        <v>10573</v>
      </c>
      <c r="V344" s="115">
        <v>1451.825</v>
      </c>
      <c r="W344" s="115">
        <f t="shared" si="76"/>
        <v>15350145.725</v>
      </c>
      <c r="X344" s="264"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5443</v>
      </c>
      <c r="U345" s="19">
        <v>85</v>
      </c>
      <c r="V345" s="115">
        <v>1423.74</v>
      </c>
      <c r="W345" s="115">
        <f t="shared" si="76"/>
        <v>121017.9</v>
      </c>
      <c r="X345" s="264" t="s">
        <v>5444</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5447</v>
      </c>
      <c r="U346" s="19">
        <v>738</v>
      </c>
      <c r="V346" s="115">
        <v>1388.87895</v>
      </c>
      <c r="W346" s="115">
        <f t="shared" si="76"/>
        <v>1024992.6651</v>
      </c>
      <c r="X346" s="264" t="s">
        <v>5455</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5463</v>
      </c>
      <c r="U347" s="19">
        <v>1442</v>
      </c>
      <c r="V347" s="115">
        <v>1350.9547279999999</v>
      </c>
      <c r="W347" s="115">
        <f t="shared" si="76"/>
        <v>1948076.7177759998</v>
      </c>
      <c r="X347" s="264"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5464</v>
      </c>
      <c r="U348" s="19">
        <v>36847</v>
      </c>
      <c r="V348" s="115">
        <v>1356.9658300000001</v>
      </c>
      <c r="W348" s="115">
        <f t="shared" si="76"/>
        <v>50000119.938010007</v>
      </c>
      <c r="X348" s="264"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5465</v>
      </c>
      <c r="U349" s="19">
        <v>13738</v>
      </c>
      <c r="V349" s="115">
        <v>1455.82</v>
      </c>
      <c r="W349" s="115">
        <f t="shared" si="76"/>
        <v>20000055.16</v>
      </c>
      <c r="X349" s="264" t="s">
        <v>5482</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5490</v>
      </c>
      <c r="U350" s="19">
        <v>3100</v>
      </c>
      <c r="V350" s="115">
        <v>1853.4507470000001</v>
      </c>
      <c r="W350" s="115">
        <f t="shared" si="76"/>
        <v>5745697.3157000002</v>
      </c>
      <c r="X350" s="264"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5491</v>
      </c>
      <c r="U351" s="19">
        <v>480</v>
      </c>
      <c r="V351" s="115">
        <v>1891.9962069999999</v>
      </c>
      <c r="W351" s="115">
        <f t="shared" si="76"/>
        <v>908158.17935999995</v>
      </c>
      <c r="X351" s="264"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5492</v>
      </c>
      <c r="U352" s="19">
        <v>6522</v>
      </c>
      <c r="V352" s="115">
        <v>1938.4694340000001</v>
      </c>
      <c r="W352" s="115">
        <f t="shared" si="76"/>
        <v>12642697.648548001</v>
      </c>
      <c r="X352" s="264"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5493</v>
      </c>
      <c r="U353" s="19">
        <v>6197</v>
      </c>
      <c r="V353" s="115">
        <v>1984.3985499999999</v>
      </c>
      <c r="W353" s="115">
        <f t="shared" si="76"/>
        <v>12297317.81435</v>
      </c>
      <c r="X353" s="264"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5494</v>
      </c>
      <c r="U354" s="19">
        <v>4646</v>
      </c>
      <c r="V354" s="115">
        <v>1928.464023</v>
      </c>
      <c r="W354" s="115">
        <f t="shared" si="76"/>
        <v>8959643.8508579992</v>
      </c>
      <c r="X354" s="264"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5495</v>
      </c>
      <c r="U355" s="19">
        <v>7668</v>
      </c>
      <c r="V355" s="115">
        <v>1976.2774959999999</v>
      </c>
      <c r="W355" s="115">
        <f t="shared" si="76"/>
        <v>15154095.839328</v>
      </c>
      <c r="X355" s="264"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5502</v>
      </c>
      <c r="U356" s="19">
        <v>-43325</v>
      </c>
      <c r="V356" s="115">
        <v>2146.5548840000001</v>
      </c>
      <c r="W356" s="115">
        <f t="shared" si="76"/>
        <v>-92999490.349300012</v>
      </c>
      <c r="X356" s="264" t="s">
        <v>5503</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5510</v>
      </c>
      <c r="U357" s="19">
        <v>20888</v>
      </c>
      <c r="V357" s="115">
        <v>2428.4521530000002</v>
      </c>
      <c r="W357" s="115">
        <f t="shared" si="76"/>
        <v>50725508.571864001</v>
      </c>
      <c r="X357" s="264"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5511</v>
      </c>
      <c r="U358" s="19">
        <v>21663</v>
      </c>
      <c r="V358" s="115">
        <v>2308.0067819999999</v>
      </c>
      <c r="W358" s="115">
        <f t="shared" si="76"/>
        <v>49998350.918466002</v>
      </c>
      <c r="X358" s="264" t="s">
        <v>5514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5511</v>
      </c>
      <c r="U359" s="19">
        <v>977</v>
      </c>
      <c r="V359" s="115">
        <v>2335.6821479999999</v>
      </c>
      <c r="W359" s="115">
        <f t="shared" si="76"/>
        <v>2281961.458596</v>
      </c>
      <c r="X359" s="264"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5518</v>
      </c>
      <c r="U360" s="19">
        <v>4155</v>
      </c>
      <c r="V360" s="115">
        <v>2647</v>
      </c>
      <c r="W360" s="115">
        <f t="shared" si="76"/>
        <v>10998285</v>
      </c>
      <c r="X360" s="264"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5519</v>
      </c>
      <c r="U361" s="19">
        <v>351</v>
      </c>
      <c r="V361" s="115">
        <v>2800.6238229999999</v>
      </c>
      <c r="W361" s="115">
        <f t="shared" si="76"/>
        <v>983018.96187300002</v>
      </c>
      <c r="X361" s="264"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5521</v>
      </c>
      <c r="U362" s="19">
        <v>5877</v>
      </c>
      <c r="V362" s="115">
        <v>2901.0160000000001</v>
      </c>
      <c r="W362" s="115">
        <f t="shared" si="76"/>
        <v>17049271.032000002</v>
      </c>
      <c r="X362" s="264"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5524</v>
      </c>
      <c r="U363" s="19">
        <v>2374</v>
      </c>
      <c r="V363" s="115">
        <v>2877</v>
      </c>
      <c r="W363" s="115">
        <f t="shared" ref="W363:W400" si="89">U363*V363</f>
        <v>6829998</v>
      </c>
      <c r="X363" s="264"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4"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4" t="s">
        <v>5540</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4" t="s">
        <v>5541</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5545</v>
      </c>
      <c r="U367" s="19">
        <v>2874</v>
      </c>
      <c r="V367" s="115">
        <v>2613.1284000000001</v>
      </c>
      <c r="W367" s="115">
        <f t="shared" si="89"/>
        <v>7510131.0216000006</v>
      </c>
      <c r="X367" s="264"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5551</v>
      </c>
      <c r="U368" s="19">
        <v>2847</v>
      </c>
      <c r="V368" s="115">
        <v>2556.3841000000002</v>
      </c>
      <c r="W368" s="115">
        <f t="shared" si="89"/>
        <v>7278025.5327000003</v>
      </c>
      <c r="X368" s="264"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5551</v>
      </c>
      <c r="U369" s="19">
        <v>1222</v>
      </c>
      <c r="V369" s="115">
        <v>2556.3841000000002</v>
      </c>
      <c r="W369" s="115">
        <f t="shared" si="89"/>
        <v>3123901.3702000002</v>
      </c>
      <c r="X369" s="264" t="s">
        <v>5552</v>
      </c>
      <c r="AH369" s="147">
        <v>83</v>
      </c>
      <c r="AI369" s="147" t="s">
        <v>4994</v>
      </c>
      <c r="AJ369" s="186">
        <v>40000</v>
      </c>
      <c r="AK369" s="147">
        <v>0</v>
      </c>
      <c r="AL369" s="147">
        <f t="shared" si="87"/>
        <v>617</v>
      </c>
      <c r="AM369" s="147">
        <f t="shared" si="88"/>
        <v>24680000</v>
      </c>
      <c r="AN369" s="147"/>
    </row>
    <row r="370" spans="17:45">
      <c r="Q370" s="97" t="s">
        <v>5069</v>
      </c>
      <c r="R370" s="93">
        <v>3495</v>
      </c>
      <c r="T370" s="19" t="s">
        <v>5560</v>
      </c>
      <c r="U370" s="19">
        <v>73</v>
      </c>
      <c r="V370" s="115">
        <v>2672.0459999999998</v>
      </c>
      <c r="W370" s="115">
        <f t="shared" si="89"/>
        <v>195059.35799999998</v>
      </c>
      <c r="X370" s="264"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5565</v>
      </c>
      <c r="U371" s="19">
        <v>332</v>
      </c>
      <c r="V371" s="115">
        <v>2598.1260000000002</v>
      </c>
      <c r="W371" s="115">
        <f t="shared" si="89"/>
        <v>862577.83200000005</v>
      </c>
      <c r="X371" s="264" t="s">
        <v>5566</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5567</v>
      </c>
      <c r="U372" s="19">
        <v>346</v>
      </c>
      <c r="V372" s="115">
        <v>2659.8510000000001</v>
      </c>
      <c r="W372" s="115">
        <f t="shared" si="89"/>
        <v>920308.446</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5568</v>
      </c>
      <c r="U373" s="19">
        <v>1722</v>
      </c>
      <c r="V373" s="115">
        <v>2692.1079220000001</v>
      </c>
      <c r="W373" s="115">
        <f t="shared" si="89"/>
        <v>4635809.8416840006</v>
      </c>
      <c r="X373" s="264"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5570</v>
      </c>
      <c r="U374" s="19">
        <v>106</v>
      </c>
      <c r="V374" s="115">
        <v>2725.4</v>
      </c>
      <c r="W374" s="115">
        <f t="shared" si="89"/>
        <v>288892.40000000002</v>
      </c>
      <c r="X374" s="264"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5598</v>
      </c>
      <c r="U375" s="19">
        <v>25901</v>
      </c>
      <c r="V375" s="115">
        <v>2258.9090000000001</v>
      </c>
      <c r="W375" s="115">
        <f t="shared" si="89"/>
        <v>58508002.009000003</v>
      </c>
      <c r="X375" s="264"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5600</v>
      </c>
      <c r="U376" s="19">
        <v>951</v>
      </c>
      <c r="V376" s="115">
        <v>2361.2150799999999</v>
      </c>
      <c r="W376" s="115">
        <f t="shared" si="89"/>
        <v>2245515.5410799999</v>
      </c>
      <c r="X376" s="264" t="s">
        <v>5114</v>
      </c>
      <c r="AH376" s="20">
        <v>90</v>
      </c>
      <c r="AI376" s="20" t="s">
        <v>5033</v>
      </c>
      <c r="AJ376" s="115">
        <v>312598</v>
      </c>
      <c r="AK376" s="20">
        <v>0</v>
      </c>
      <c r="AL376" s="20">
        <f t="shared" si="90"/>
        <v>590</v>
      </c>
      <c r="AM376" s="20">
        <f t="shared" si="91"/>
        <v>184432820</v>
      </c>
      <c r="AN376" s="20"/>
    </row>
    <row r="377" spans="17:45">
      <c r="Q377" s="97" t="s">
        <v>5110</v>
      </c>
      <c r="R377" s="93">
        <v>6022</v>
      </c>
      <c r="T377" s="19" t="s">
        <v>5602</v>
      </c>
      <c r="U377" s="19">
        <v>7622</v>
      </c>
      <c r="V377" s="115">
        <v>2414.6810999999998</v>
      </c>
      <c r="W377" s="115">
        <f t="shared" si="89"/>
        <v>18404699.3442</v>
      </c>
      <c r="X377" s="264"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5602</v>
      </c>
      <c r="U378" s="19">
        <v>-282</v>
      </c>
      <c r="V378" s="115">
        <v>2414.6810999999998</v>
      </c>
      <c r="W378" s="115">
        <f t="shared" si="89"/>
        <v>-680940.07019999996</v>
      </c>
      <c r="X378" s="264" t="s">
        <v>5603</v>
      </c>
      <c r="AH378" s="192">
        <v>92</v>
      </c>
      <c r="AI378" s="192" t="s">
        <v>5033</v>
      </c>
      <c r="AJ378" s="193">
        <v>-300000</v>
      </c>
      <c r="AK378" s="192">
        <v>1</v>
      </c>
      <c r="AL378" s="192">
        <f t="shared" si="90"/>
        <v>590</v>
      </c>
      <c r="AM378" s="192">
        <f t="shared" si="91"/>
        <v>-177000000</v>
      </c>
      <c r="AN378" s="192"/>
    </row>
    <row r="379" spans="17:45">
      <c r="Q379" s="97" t="s">
        <v>5113</v>
      </c>
      <c r="R379" s="93">
        <v>92847</v>
      </c>
      <c r="T379" s="19" t="s">
        <v>5602</v>
      </c>
      <c r="U379" s="19">
        <v>20162</v>
      </c>
      <c r="V379" s="115">
        <v>2414.6810999999998</v>
      </c>
      <c r="W379" s="115">
        <f t="shared" si="89"/>
        <v>48684800.338199995</v>
      </c>
      <c r="X379" s="264" t="s">
        <v>5604</v>
      </c>
      <c r="AH379" s="20">
        <v>93</v>
      </c>
      <c r="AI379" s="20" t="s">
        <v>5000</v>
      </c>
      <c r="AJ379" s="115">
        <v>300000</v>
      </c>
      <c r="AK379" s="20">
        <v>0</v>
      </c>
      <c r="AL379" s="20">
        <f t="shared" si="90"/>
        <v>589</v>
      </c>
      <c r="AM379" s="20">
        <f t="shared" si="91"/>
        <v>176700000</v>
      </c>
      <c r="AN379" s="20"/>
    </row>
    <row r="380" spans="17:45">
      <c r="Q380" s="97" t="s">
        <v>5117</v>
      </c>
      <c r="R380" s="93">
        <v>-100000</v>
      </c>
      <c r="T380" s="19" t="s">
        <v>5602</v>
      </c>
      <c r="U380" s="19">
        <v>-20162</v>
      </c>
      <c r="V380" s="115">
        <v>2414.6810999999998</v>
      </c>
      <c r="W380" s="115">
        <f t="shared" si="89"/>
        <v>-48684800.338199995</v>
      </c>
      <c r="X380" s="264"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5605</v>
      </c>
      <c r="U381" s="19">
        <v>977</v>
      </c>
      <c r="V381" s="115">
        <v>2317.971947</v>
      </c>
      <c r="W381" s="115">
        <f t="shared" si="89"/>
        <v>2264658.5922190002</v>
      </c>
      <c r="X381" s="264"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5607</v>
      </c>
      <c r="U382" s="19">
        <v>10280</v>
      </c>
      <c r="V382" s="115">
        <v>2225.429357</v>
      </c>
      <c r="W382" s="115">
        <f t="shared" si="89"/>
        <v>22877413.789960001</v>
      </c>
      <c r="X382" s="264"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5610</v>
      </c>
      <c r="U383" s="19">
        <v>1022</v>
      </c>
      <c r="V383" s="115">
        <v>2311.6824240000001</v>
      </c>
      <c r="W383" s="115">
        <f t="shared" si="89"/>
        <v>2362539.4373280001</v>
      </c>
      <c r="X383" s="264"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5611</v>
      </c>
      <c r="U384" s="19">
        <v>6818</v>
      </c>
      <c r="V384" s="115">
        <v>2352.988656</v>
      </c>
      <c r="W384" s="115">
        <f t="shared" si="89"/>
        <v>16042676.656608</v>
      </c>
      <c r="X384" s="264"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5612</v>
      </c>
      <c r="U385" s="19">
        <v>8023</v>
      </c>
      <c r="V385" s="115">
        <v>2293.8167079999998</v>
      </c>
      <c r="W385" s="115">
        <f t="shared" si="89"/>
        <v>18403291.448284</v>
      </c>
      <c r="X385" s="264"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5615</v>
      </c>
      <c r="U386" s="19">
        <v>4666</v>
      </c>
      <c r="V386" s="115">
        <v>2263.4906230000001</v>
      </c>
      <c r="W386" s="115">
        <f t="shared" si="89"/>
        <v>10561447.246918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5616</v>
      </c>
      <c r="U387" s="19">
        <v>542</v>
      </c>
      <c r="V387" s="115">
        <v>2263.4906230000001</v>
      </c>
      <c r="W387" s="115">
        <f t="shared" si="89"/>
        <v>1226811.9176660001</v>
      </c>
      <c r="X387" s="264" t="s">
        <v>5114</v>
      </c>
      <c r="AF387" s="94" t="s">
        <v>25</v>
      </c>
      <c r="AH387" s="147">
        <v>101</v>
      </c>
      <c r="AI387" s="147" t="s">
        <v>5084</v>
      </c>
      <c r="AJ387" s="186">
        <v>250000</v>
      </c>
      <c r="AK387" s="147">
        <v>3</v>
      </c>
      <c r="AL387" s="147">
        <f t="shared" si="90"/>
        <v>560</v>
      </c>
      <c r="AM387" s="147">
        <f t="shared" si="91"/>
        <v>140000000</v>
      </c>
      <c r="AN387" s="147"/>
    </row>
    <row r="388" spans="16:45">
      <c r="Q388" s="97" t="s">
        <v>5127</v>
      </c>
      <c r="R388" s="93">
        <v>34550</v>
      </c>
      <c r="T388" s="19" t="s">
        <v>5617</v>
      </c>
      <c r="U388" s="19">
        <v>16629</v>
      </c>
      <c r="V388" s="115">
        <v>2367.7887540000002</v>
      </c>
      <c r="W388" s="115">
        <f t="shared" si="89"/>
        <v>39373959.190266006</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5622</v>
      </c>
      <c r="U389" s="19">
        <v>11765</v>
      </c>
      <c r="V389" s="115">
        <v>2354.7375320000001</v>
      </c>
      <c r="W389" s="115">
        <f t="shared" si="89"/>
        <v>27703487.063980002</v>
      </c>
      <c r="X389" s="264"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5623</v>
      </c>
      <c r="U390" s="19">
        <v>3672</v>
      </c>
      <c r="V390" s="115">
        <v>2379.873826</v>
      </c>
      <c r="W390" s="115">
        <f t="shared" si="89"/>
        <v>8738896.6890719999</v>
      </c>
      <c r="X390" s="264" t="s">
        <v>5114</v>
      </c>
      <c r="Z390" t="s">
        <v>25</v>
      </c>
      <c r="AH390" s="20">
        <v>104</v>
      </c>
      <c r="AI390" s="20" t="s">
        <v>960</v>
      </c>
      <c r="AJ390" s="115">
        <v>-3960043</v>
      </c>
      <c r="AK390" s="20">
        <v>2</v>
      </c>
      <c r="AL390" s="20">
        <f t="shared" si="90"/>
        <v>550</v>
      </c>
      <c r="AM390" s="20">
        <f t="shared" si="91"/>
        <v>-2178023650</v>
      </c>
      <c r="AN390" s="20"/>
    </row>
    <row r="391" spans="16:45">
      <c r="P391" t="s">
        <v>25</v>
      </c>
      <c r="Q391" s="97" t="s">
        <v>5209</v>
      </c>
      <c r="R391" s="93">
        <v>-54615</v>
      </c>
      <c r="T391" s="19" t="s">
        <v>4185</v>
      </c>
      <c r="U391" s="19">
        <v>140</v>
      </c>
      <c r="V391" s="115">
        <v>2487.154767</v>
      </c>
      <c r="W391" s="115">
        <f t="shared" si="89"/>
        <v>348201.66738</v>
      </c>
      <c r="X391" s="264"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5625</v>
      </c>
      <c r="U392" s="19">
        <v>1616</v>
      </c>
      <c r="V392" s="115">
        <v>2573.0760479999999</v>
      </c>
      <c r="W392" s="115">
        <f t="shared" si="89"/>
        <v>4158090.8935679998</v>
      </c>
      <c r="X392" s="264"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5626</v>
      </c>
      <c r="U393" s="187">
        <v>5682</v>
      </c>
      <c r="V393" s="186">
        <v>2639.970566</v>
      </c>
      <c r="W393" s="186">
        <f t="shared" si="89"/>
        <v>15000312.756012</v>
      </c>
      <c r="X393" s="263" t="s">
        <v>5887</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5626</v>
      </c>
      <c r="U394" s="187">
        <v>-122</v>
      </c>
      <c r="V394" s="186">
        <v>2639.970566</v>
      </c>
      <c r="W394" s="186">
        <f t="shared" si="89"/>
        <v>-322076.40905199997</v>
      </c>
      <c r="X394" s="263" t="s">
        <v>5927</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5626</v>
      </c>
      <c r="U395" s="19">
        <v>2272</v>
      </c>
      <c r="V395" s="115">
        <v>2639.970566</v>
      </c>
      <c r="W395" s="115">
        <f t="shared" si="89"/>
        <v>5998013.1259519998</v>
      </c>
      <c r="X395" s="264" t="s">
        <v>5635</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5626</v>
      </c>
      <c r="U396" s="19">
        <v>4434</v>
      </c>
      <c r="V396" s="115">
        <v>2639.970566</v>
      </c>
      <c r="W396" s="115">
        <f t="shared" si="89"/>
        <v>11705629.489644</v>
      </c>
      <c r="X396" s="264" t="s">
        <v>5636</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5626</v>
      </c>
      <c r="U397" s="19">
        <v>2349</v>
      </c>
      <c r="V397" s="115">
        <v>2639.970566</v>
      </c>
      <c r="W397" s="115">
        <f t="shared" si="89"/>
        <v>6201290.859534</v>
      </c>
      <c r="X397" s="264" t="s">
        <v>5637</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5626</v>
      </c>
      <c r="U398" s="19">
        <v>-568</v>
      </c>
      <c r="V398" s="115">
        <v>2639.970566</v>
      </c>
      <c r="W398" s="115">
        <f t="shared" si="89"/>
        <v>-1499503.2814879999</v>
      </c>
      <c r="X398" s="264" t="s">
        <v>5638</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5626</v>
      </c>
      <c r="U399" s="19">
        <v>568</v>
      </c>
      <c r="V399" s="115">
        <v>2639.970566</v>
      </c>
      <c r="W399" s="115">
        <f t="shared" si="89"/>
        <v>1499503.2814879999</v>
      </c>
      <c r="X399" s="264" t="s">
        <v>5638</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5629</v>
      </c>
      <c r="U400" s="19">
        <v>4589</v>
      </c>
      <c r="V400" s="115">
        <v>2639.970566</v>
      </c>
      <c r="W400" s="115">
        <f t="shared" si="89"/>
        <v>12114824.927374</v>
      </c>
      <c r="X400" s="264" t="s">
        <v>5639</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5629</v>
      </c>
      <c r="U401" s="19">
        <v>41959</v>
      </c>
      <c r="V401" s="115">
        <v>2639.970566</v>
      </c>
      <c r="W401" s="115">
        <f t="shared" ref="W401:W500" si="92">U401*V401</f>
        <v>110770524.97879399</v>
      </c>
      <c r="X401" s="264"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5641</v>
      </c>
      <c r="U402" s="19">
        <v>2486</v>
      </c>
      <c r="V402" s="115">
        <v>2688.7156100000002</v>
      </c>
      <c r="W402" s="115">
        <f t="shared" si="92"/>
        <v>6684147.0064600008</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5644</v>
      </c>
      <c r="U403" s="19">
        <v>652</v>
      </c>
      <c r="V403" s="115">
        <v>2801.4344030000002</v>
      </c>
      <c r="W403" s="115">
        <f t="shared" si="92"/>
        <v>1826535.2307560001</v>
      </c>
      <c r="X403" s="264" t="s">
        <v>5114</v>
      </c>
      <c r="AH403" s="147">
        <v>117</v>
      </c>
      <c r="AI403" s="147" t="s">
        <v>5149</v>
      </c>
      <c r="AJ403" s="186">
        <v>50000</v>
      </c>
      <c r="AK403" s="147">
        <v>7</v>
      </c>
      <c r="AL403" s="147">
        <f t="shared" si="93"/>
        <v>532</v>
      </c>
      <c r="AM403" s="147">
        <f t="shared" si="94"/>
        <v>26600000</v>
      </c>
      <c r="AN403" s="147"/>
    </row>
    <row r="404" spans="17:45">
      <c r="Q404" s="97" t="s">
        <v>5439</v>
      </c>
      <c r="R404" s="93">
        <v>652592</v>
      </c>
      <c r="T404" s="187" t="s">
        <v>5644</v>
      </c>
      <c r="U404" s="187">
        <v>-536</v>
      </c>
      <c r="V404" s="186">
        <v>2801.4344030000002</v>
      </c>
      <c r="W404" s="186">
        <f t="shared" si="92"/>
        <v>-1501568.8400080001</v>
      </c>
      <c r="X404" s="263" t="s">
        <v>5657</v>
      </c>
      <c r="AH404" s="20">
        <v>118</v>
      </c>
      <c r="AI404" s="20" t="s">
        <v>5157</v>
      </c>
      <c r="AJ404" s="115">
        <v>-500000</v>
      </c>
      <c r="AK404" s="20">
        <v>12</v>
      </c>
      <c r="AL404" s="20">
        <f t="shared" si="93"/>
        <v>525</v>
      </c>
      <c r="AM404" s="20">
        <f t="shared" si="94"/>
        <v>-262500000</v>
      </c>
      <c r="AN404" s="20"/>
    </row>
    <row r="405" spans="17:45">
      <c r="Q405" s="97" t="s">
        <v>5440</v>
      </c>
      <c r="R405" s="93">
        <v>554139</v>
      </c>
      <c r="T405" s="19" t="s">
        <v>5648</v>
      </c>
      <c r="U405" s="19">
        <v>1351</v>
      </c>
      <c r="V405" s="115">
        <v>2647.94</v>
      </c>
      <c r="W405" s="115">
        <f t="shared" si="92"/>
        <v>3577366.94</v>
      </c>
      <c r="X405" s="264" t="s">
        <v>5114</v>
      </c>
      <c r="AH405" s="147">
        <v>119</v>
      </c>
      <c r="AI405" s="147" t="s">
        <v>976</v>
      </c>
      <c r="AJ405" s="186">
        <v>-50000</v>
      </c>
      <c r="AK405" s="147">
        <v>0</v>
      </c>
      <c r="AL405" s="147">
        <f t="shared" si="93"/>
        <v>513</v>
      </c>
      <c r="AM405" s="147">
        <f t="shared" si="94"/>
        <v>-25650000</v>
      </c>
      <c r="AN405" s="147"/>
    </row>
    <row r="406" spans="17:45">
      <c r="Q406" s="97" t="s">
        <v>5441</v>
      </c>
      <c r="R406" s="93">
        <v>70373089</v>
      </c>
      <c r="T406" s="19" t="s">
        <v>5650</v>
      </c>
      <c r="U406" s="19">
        <v>8402</v>
      </c>
      <c r="V406" s="115">
        <v>2527.8539839999999</v>
      </c>
      <c r="W406" s="115">
        <f t="shared" si="92"/>
        <v>21239029.173567999</v>
      </c>
      <c r="X406" s="264" t="s">
        <v>5114</v>
      </c>
      <c r="AH406" s="20">
        <v>120</v>
      </c>
      <c r="AI406" s="20" t="s">
        <v>976</v>
      </c>
      <c r="AJ406" s="115">
        <v>-50000</v>
      </c>
      <c r="AK406" s="20">
        <v>28</v>
      </c>
      <c r="AL406" s="20">
        <f t="shared" si="93"/>
        <v>513</v>
      </c>
      <c r="AM406" s="20">
        <f t="shared" si="94"/>
        <v>-25650000</v>
      </c>
      <c r="AN406" s="20"/>
    </row>
    <row r="407" spans="17:45">
      <c r="Q407" s="97" t="s">
        <v>5442</v>
      </c>
      <c r="R407" s="93">
        <v>1219655</v>
      </c>
      <c r="T407" s="19" t="s">
        <v>5654</v>
      </c>
      <c r="U407" s="19">
        <v>98141</v>
      </c>
      <c r="V407" s="115">
        <v>2475.593813</v>
      </c>
      <c r="W407" s="115">
        <f t="shared" si="92"/>
        <v>242957252.40163299</v>
      </c>
      <c r="X407" s="264" t="s">
        <v>5114</v>
      </c>
      <c r="AH407" s="20">
        <v>121</v>
      </c>
      <c r="AI407" s="20" t="s">
        <v>5198</v>
      </c>
      <c r="AJ407" s="115">
        <v>-3020625</v>
      </c>
      <c r="AK407" s="20">
        <v>18</v>
      </c>
      <c r="AL407" s="20">
        <f t="shared" si="93"/>
        <v>485</v>
      </c>
      <c r="AM407" s="20">
        <f t="shared" si="94"/>
        <v>-1465003125</v>
      </c>
      <c r="AN407" s="20"/>
    </row>
    <row r="408" spans="17:45">
      <c r="Q408" s="97" t="s">
        <v>5443</v>
      </c>
      <c r="R408" s="93">
        <v>15350146</v>
      </c>
      <c r="T408" s="19" t="s">
        <v>5658</v>
      </c>
      <c r="U408" s="19">
        <v>2910</v>
      </c>
      <c r="V408" s="115">
        <v>2528.240988</v>
      </c>
      <c r="W408" s="115">
        <f t="shared" si="92"/>
        <v>7357181.2750800001</v>
      </c>
      <c r="X408" s="264" t="s">
        <v>5114</v>
      </c>
      <c r="Z408" t="s">
        <v>25</v>
      </c>
      <c r="AH408" s="20">
        <v>122</v>
      </c>
      <c r="AI408" s="20" t="s">
        <v>5209</v>
      </c>
      <c r="AJ408" s="115">
        <v>18000000</v>
      </c>
      <c r="AK408" s="20">
        <v>19</v>
      </c>
      <c r="AL408" s="20">
        <f t="shared" si="93"/>
        <v>467</v>
      </c>
      <c r="AM408" s="20">
        <f t="shared" si="94"/>
        <v>8406000000</v>
      </c>
      <c r="AN408" s="20"/>
    </row>
    <row r="409" spans="17:45">
      <c r="Q409" s="97" t="s">
        <v>5447</v>
      </c>
      <c r="R409" s="93">
        <v>121018</v>
      </c>
      <c r="T409" s="19" t="s">
        <v>5660</v>
      </c>
      <c r="U409" s="19">
        <v>5652</v>
      </c>
      <c r="V409" s="115">
        <v>2645.3312000000001</v>
      </c>
      <c r="W409" s="115">
        <f t="shared" si="92"/>
        <v>14951411.942400001</v>
      </c>
      <c r="X409" s="264" t="s">
        <v>5114</v>
      </c>
      <c r="AH409" s="20">
        <v>123</v>
      </c>
      <c r="AI409" s="20" t="s">
        <v>5236</v>
      </c>
      <c r="AJ409" s="115">
        <v>2000000</v>
      </c>
      <c r="AK409" s="20">
        <v>6</v>
      </c>
      <c r="AL409" s="20">
        <f t="shared" si="93"/>
        <v>448</v>
      </c>
      <c r="AM409" s="20">
        <f t="shared" si="94"/>
        <v>896000000</v>
      </c>
      <c r="AN409" s="20"/>
    </row>
    <row r="410" spans="17:45">
      <c r="Q410" s="97" t="s">
        <v>5463</v>
      </c>
      <c r="R410" s="93">
        <v>1024993</v>
      </c>
      <c r="T410" s="19" t="s">
        <v>5664</v>
      </c>
      <c r="U410" s="19">
        <v>18764</v>
      </c>
      <c r="V410" s="115">
        <v>2554.2639829999998</v>
      </c>
      <c r="W410" s="115">
        <f t="shared" si="92"/>
        <v>47928209.377011999</v>
      </c>
      <c r="X410" s="264" t="s">
        <v>5114</v>
      </c>
      <c r="AA410" t="s">
        <v>25</v>
      </c>
      <c r="AH410" s="147">
        <v>124</v>
      </c>
      <c r="AI410" s="147" t="s">
        <v>5245</v>
      </c>
      <c r="AJ410" s="186">
        <v>40000000</v>
      </c>
      <c r="AK410" s="147">
        <v>6</v>
      </c>
      <c r="AL410" s="147">
        <f t="shared" si="93"/>
        <v>442</v>
      </c>
      <c r="AM410" s="147">
        <f t="shared" si="94"/>
        <v>17680000000</v>
      </c>
      <c r="AN410" s="147"/>
    </row>
    <row r="411" spans="17:45">
      <c r="Q411" s="97" t="s">
        <v>5464</v>
      </c>
      <c r="R411" s="93">
        <v>1948077</v>
      </c>
      <c r="T411" s="19" t="s">
        <v>5666</v>
      </c>
      <c r="U411" s="19">
        <v>930</v>
      </c>
      <c r="V411" s="115">
        <v>2453.3287089999999</v>
      </c>
      <c r="W411" s="115">
        <f t="shared" si="92"/>
        <v>2281595.69937</v>
      </c>
      <c r="X411" s="264" t="s">
        <v>5114</v>
      </c>
      <c r="AH411" s="20">
        <v>125</v>
      </c>
      <c r="AI411" s="20" t="s">
        <v>5254</v>
      </c>
      <c r="AJ411" s="115">
        <v>200000</v>
      </c>
      <c r="AK411" s="20">
        <v>0</v>
      </c>
      <c r="AL411" s="20">
        <f t="shared" si="93"/>
        <v>436</v>
      </c>
      <c r="AM411" s="20">
        <f t="shared" si="94"/>
        <v>87200000</v>
      </c>
      <c r="AN411" s="20"/>
    </row>
    <row r="412" spans="17:45">
      <c r="Q412" s="97" t="s">
        <v>5465</v>
      </c>
      <c r="R412" s="93">
        <v>50000120</v>
      </c>
      <c r="T412" s="19" t="s">
        <v>5668</v>
      </c>
      <c r="U412" s="19">
        <v>1167</v>
      </c>
      <c r="V412" s="115">
        <v>2540.6307069999998</v>
      </c>
      <c r="W412" s="115">
        <f t="shared" si="92"/>
        <v>2964916.035069</v>
      </c>
      <c r="X412" s="264" t="s">
        <v>5114</v>
      </c>
      <c r="AA412" t="s">
        <v>25</v>
      </c>
      <c r="AH412" s="147">
        <v>126</v>
      </c>
      <c r="AI412" s="147" t="s">
        <v>5254</v>
      </c>
      <c r="AJ412" s="186">
        <v>200000</v>
      </c>
      <c r="AK412" s="147">
        <v>1</v>
      </c>
      <c r="AL412" s="147">
        <f t="shared" si="93"/>
        <v>436</v>
      </c>
      <c r="AM412" s="147">
        <f t="shared" si="94"/>
        <v>87200000</v>
      </c>
      <c r="AN412" s="147"/>
    </row>
    <row r="413" spans="17:45">
      <c r="Q413" s="97" t="s">
        <v>5490</v>
      </c>
      <c r="R413" s="93">
        <v>20000055</v>
      </c>
      <c r="T413" s="19" t="s">
        <v>5669</v>
      </c>
      <c r="U413" s="19">
        <v>2538</v>
      </c>
      <c r="V413" s="115">
        <v>2545.5277489999999</v>
      </c>
      <c r="W413" s="115">
        <f t="shared" si="92"/>
        <v>6460549.4269619994</v>
      </c>
      <c r="X413" s="264"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5491</v>
      </c>
      <c r="R414" s="93">
        <v>5745697</v>
      </c>
      <c r="T414" s="19" t="s">
        <v>5671</v>
      </c>
      <c r="U414" s="19">
        <v>2106</v>
      </c>
      <c r="V414" s="115">
        <v>2474.9857059999999</v>
      </c>
      <c r="W414" s="115">
        <f t="shared" si="92"/>
        <v>5212319.8968359996</v>
      </c>
      <c r="X414" s="264"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5492</v>
      </c>
      <c r="R415" s="93">
        <v>908158</v>
      </c>
      <c r="T415" s="19" t="s">
        <v>5674</v>
      </c>
      <c r="U415" s="19">
        <v>1801</v>
      </c>
      <c r="V415" s="115">
        <v>2512.2134809999998</v>
      </c>
      <c r="W415" s="115">
        <f t="shared" si="92"/>
        <v>4524496.4792809999</v>
      </c>
      <c r="X415" s="264" t="s">
        <v>5114</v>
      </c>
      <c r="AH415" s="20">
        <v>129</v>
      </c>
      <c r="AI415" s="20" t="s">
        <v>5275</v>
      </c>
      <c r="AJ415" s="115">
        <v>-550000</v>
      </c>
      <c r="AK415" s="20">
        <v>5</v>
      </c>
      <c r="AL415" s="20">
        <f t="shared" si="95"/>
        <v>422</v>
      </c>
      <c r="AM415" s="20">
        <f t="shared" si="96"/>
        <v>-232100000</v>
      </c>
      <c r="AN415" s="20"/>
      <c r="AS415" t="s">
        <v>25</v>
      </c>
    </row>
    <row r="416" spans="17:45">
      <c r="Q416" s="97" t="s">
        <v>5493</v>
      </c>
      <c r="R416" s="93">
        <v>12642697</v>
      </c>
      <c r="T416" s="19" t="s">
        <v>5676</v>
      </c>
      <c r="U416" s="19">
        <v>9184</v>
      </c>
      <c r="V416" s="115">
        <v>2489.76919</v>
      </c>
      <c r="W416" s="115">
        <f t="shared" si="92"/>
        <v>22866040.240959998</v>
      </c>
      <c r="X416" s="264" t="s">
        <v>5114</v>
      </c>
      <c r="AH416" s="20">
        <v>130</v>
      </c>
      <c r="AI416" s="20" t="s">
        <v>5280</v>
      </c>
      <c r="AJ416" s="115">
        <v>-29686490</v>
      </c>
      <c r="AK416" s="20">
        <v>1</v>
      </c>
      <c r="AL416" s="20">
        <f t="shared" si="95"/>
        <v>417</v>
      </c>
      <c r="AM416" s="20">
        <f t="shared" si="96"/>
        <v>-12379266330</v>
      </c>
      <c r="AN416" s="20"/>
    </row>
    <row r="417" spans="17:45">
      <c r="Q417" s="97" t="s">
        <v>5494</v>
      </c>
      <c r="R417" s="93">
        <v>12297317.81435</v>
      </c>
      <c r="T417" s="19" t="s">
        <v>5678</v>
      </c>
      <c r="U417" s="19">
        <v>6259</v>
      </c>
      <c r="V417" s="115">
        <v>2453.954988</v>
      </c>
      <c r="W417" s="115">
        <f t="shared" si="92"/>
        <v>15359304.269892</v>
      </c>
      <c r="X417" s="264"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5495</v>
      </c>
      <c r="R418" s="93">
        <v>8959643.8508579992</v>
      </c>
      <c r="T418" s="19" t="s">
        <v>5680</v>
      </c>
      <c r="U418" s="19">
        <v>1223</v>
      </c>
      <c r="V418" s="115">
        <v>2345.4686710000001</v>
      </c>
      <c r="W418" s="115">
        <f t="shared" si="92"/>
        <v>2868508.1846330003</v>
      </c>
      <c r="X418" s="264" t="s">
        <v>5114</v>
      </c>
      <c r="AH418" s="20">
        <v>132</v>
      </c>
      <c r="AI418" s="20" t="s">
        <v>5332</v>
      </c>
      <c r="AJ418" s="115">
        <v>810000</v>
      </c>
      <c r="AK418" s="20">
        <v>2</v>
      </c>
      <c r="AL418" s="20">
        <f t="shared" si="95"/>
        <v>408</v>
      </c>
      <c r="AM418" s="20">
        <f t="shared" si="96"/>
        <v>330480000</v>
      </c>
      <c r="AN418" s="20"/>
    </row>
    <row r="419" spans="17:45">
      <c r="Q419" s="97" t="s">
        <v>5510</v>
      </c>
      <c r="R419" s="93">
        <v>15154095.839328</v>
      </c>
      <c r="S419" t="s">
        <v>25</v>
      </c>
      <c r="T419" s="19" t="s">
        <v>5681</v>
      </c>
      <c r="U419" s="19">
        <v>7804</v>
      </c>
      <c r="V419" s="115">
        <v>2236.0831640000001</v>
      </c>
      <c r="W419" s="115">
        <f t="shared" si="92"/>
        <v>17450393.011856001</v>
      </c>
      <c r="X419" s="264" t="s">
        <v>5114</v>
      </c>
      <c r="AH419" s="20">
        <v>133</v>
      </c>
      <c r="AI419" s="20" t="s">
        <v>5337</v>
      </c>
      <c r="AJ419" s="115">
        <v>-5000000</v>
      </c>
      <c r="AK419" s="20">
        <v>3</v>
      </c>
      <c r="AL419" s="20">
        <f t="shared" si="95"/>
        <v>406</v>
      </c>
      <c r="AM419" s="20">
        <f t="shared" si="96"/>
        <v>-2030000000</v>
      </c>
      <c r="AN419" s="20"/>
    </row>
    <row r="420" spans="17:45">
      <c r="Q420" s="97" t="s">
        <v>5511</v>
      </c>
      <c r="R420" s="93">
        <v>50725508.571864001</v>
      </c>
      <c r="T420" s="19" t="s">
        <v>5682</v>
      </c>
      <c r="U420" s="19">
        <v>14589</v>
      </c>
      <c r="V420" s="115">
        <v>2151.5486500000002</v>
      </c>
      <c r="W420" s="115">
        <f t="shared" si="92"/>
        <v>31388943.254850004</v>
      </c>
      <c r="X420" s="264" t="s">
        <v>5114</v>
      </c>
      <c r="AH420" s="20">
        <v>134</v>
      </c>
      <c r="AI420" s="20" t="s">
        <v>5341</v>
      </c>
      <c r="AJ420" s="115">
        <v>-26000000</v>
      </c>
      <c r="AK420" s="20">
        <v>0</v>
      </c>
      <c r="AL420" s="20">
        <f t="shared" si="95"/>
        <v>403</v>
      </c>
      <c r="AM420" s="20">
        <f t="shared" si="96"/>
        <v>-10478000000</v>
      </c>
      <c r="AN420" s="20"/>
      <c r="AR420" t="s">
        <v>25</v>
      </c>
    </row>
    <row r="421" spans="17:45">
      <c r="Q421" s="97" t="s">
        <v>5518</v>
      </c>
      <c r="R421" s="93">
        <v>2281961.458596</v>
      </c>
      <c r="T421" s="19" t="s">
        <v>5683</v>
      </c>
      <c r="U421" s="19">
        <v>14741</v>
      </c>
      <c r="V421" s="115">
        <v>2097.0148140000001</v>
      </c>
      <c r="W421" s="115">
        <f t="shared" si="92"/>
        <v>30912095.373174001</v>
      </c>
      <c r="X421" s="264" t="s">
        <v>5114</v>
      </c>
      <c r="Y421" t="s">
        <v>25</v>
      </c>
      <c r="AH421" s="242">
        <v>135</v>
      </c>
      <c r="AI421" s="242" t="s">
        <v>5341</v>
      </c>
      <c r="AJ421" s="233">
        <v>-26000000</v>
      </c>
      <c r="AK421" s="242">
        <v>1</v>
      </c>
      <c r="AL421" s="242">
        <f t="shared" si="95"/>
        <v>403</v>
      </c>
      <c r="AM421" s="242">
        <f t="shared" si="96"/>
        <v>-10478000000</v>
      </c>
      <c r="AN421" s="242"/>
    </row>
    <row r="422" spans="17:45">
      <c r="Q422" s="97" t="s">
        <v>5519</v>
      </c>
      <c r="R422" s="93">
        <v>10998285</v>
      </c>
      <c r="T422" s="19" t="s">
        <v>5685</v>
      </c>
      <c r="U422" s="19">
        <v>10237</v>
      </c>
      <c r="V422" s="115">
        <v>1914.9092619999999</v>
      </c>
      <c r="W422" s="115">
        <f t="shared" si="92"/>
        <v>19602926.115093999</v>
      </c>
      <c r="X422" s="264" t="s">
        <v>5114</v>
      </c>
      <c r="Z422" t="s">
        <v>25</v>
      </c>
      <c r="AH422" s="20">
        <v>136</v>
      </c>
      <c r="AI422" s="20" t="s">
        <v>5346</v>
      </c>
      <c r="AJ422" s="115">
        <v>-81800000</v>
      </c>
      <c r="AK422" s="20">
        <v>0</v>
      </c>
      <c r="AL422" s="20">
        <f t="shared" si="95"/>
        <v>402</v>
      </c>
      <c r="AM422" s="20">
        <f t="shared" si="96"/>
        <v>-32883600000</v>
      </c>
      <c r="AN422" s="20"/>
    </row>
    <row r="423" spans="17:45">
      <c r="Q423" s="97" t="s">
        <v>5521</v>
      </c>
      <c r="R423" s="93">
        <v>983018.96187300002</v>
      </c>
      <c r="S423" t="s">
        <v>25</v>
      </c>
      <c r="T423" s="19" t="s">
        <v>5689</v>
      </c>
      <c r="U423" s="19">
        <v>19211</v>
      </c>
      <c r="V423" s="115">
        <v>1793.6906100000001</v>
      </c>
      <c r="W423" s="115">
        <f t="shared" si="92"/>
        <v>34458590.308710001</v>
      </c>
      <c r="X423" s="264" t="s">
        <v>5114</v>
      </c>
      <c r="Z423" t="s">
        <v>25</v>
      </c>
      <c r="AH423" s="242">
        <v>137</v>
      </c>
      <c r="AI423" s="242" t="s">
        <v>5346</v>
      </c>
      <c r="AJ423" s="233">
        <v>-110000000</v>
      </c>
      <c r="AK423" s="242">
        <v>1</v>
      </c>
      <c r="AL423" s="242">
        <f t="shared" si="95"/>
        <v>402</v>
      </c>
      <c r="AM423" s="242">
        <f t="shared" si="96"/>
        <v>-44220000000</v>
      </c>
      <c r="AN423" s="242"/>
    </row>
    <row r="424" spans="17:45">
      <c r="Q424" s="97" t="s">
        <v>5524</v>
      </c>
      <c r="R424" s="93">
        <v>17049271.032000002</v>
      </c>
      <c r="T424" s="19" t="s">
        <v>5691</v>
      </c>
      <c r="U424" s="19">
        <v>11599</v>
      </c>
      <c r="V424" s="115">
        <v>1870.667144</v>
      </c>
      <c r="W424" s="115">
        <f t="shared" si="92"/>
        <v>21697868.203256</v>
      </c>
      <c r="X424" s="264"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5693</v>
      </c>
      <c r="U425" s="19">
        <v>14098</v>
      </c>
      <c r="V425" s="115">
        <v>1797.423695</v>
      </c>
      <c r="W425" s="115">
        <f t="shared" si="92"/>
        <v>25340079.252110001</v>
      </c>
      <c r="X425" s="264"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5545</v>
      </c>
      <c r="R426" s="93">
        <v>6982608.8207999999</v>
      </c>
      <c r="T426" s="19" t="s">
        <v>5694</v>
      </c>
      <c r="U426" s="19">
        <v>8497</v>
      </c>
      <c r="V426" s="115">
        <v>1739.5531579999999</v>
      </c>
      <c r="W426" s="115">
        <f t="shared" si="92"/>
        <v>14780983.183526</v>
      </c>
      <c r="X426" s="264" t="s">
        <v>5114</v>
      </c>
      <c r="AH426" s="20">
        <v>140</v>
      </c>
      <c r="AI426" s="20" t="s">
        <v>5360</v>
      </c>
      <c r="AJ426" s="115">
        <v>1000000</v>
      </c>
      <c r="AK426" s="20">
        <v>0</v>
      </c>
      <c r="AL426" s="20">
        <f t="shared" si="97"/>
        <v>396</v>
      </c>
      <c r="AM426" s="20">
        <f t="shared" si="98"/>
        <v>396000000</v>
      </c>
      <c r="AN426" s="20"/>
    </row>
    <row r="427" spans="17:45" ht="30">
      <c r="Q427" s="97" t="s">
        <v>5551</v>
      </c>
      <c r="R427" s="93">
        <v>7510131.0216000006</v>
      </c>
      <c r="T427" s="285" t="s">
        <v>5697</v>
      </c>
      <c r="U427" s="285">
        <v>163820</v>
      </c>
      <c r="V427" s="88">
        <v>1588.685326</v>
      </c>
      <c r="W427" s="88">
        <f t="shared" si="92"/>
        <v>260258430.10532001</v>
      </c>
      <c r="X427" s="304" t="s">
        <v>5700</v>
      </c>
      <c r="AH427" s="147">
        <v>141</v>
      </c>
      <c r="AI427" s="147" t="s">
        <v>5360</v>
      </c>
      <c r="AJ427" s="186">
        <v>1000000</v>
      </c>
      <c r="AK427" s="147">
        <v>4</v>
      </c>
      <c r="AL427" s="147">
        <f t="shared" si="97"/>
        <v>396</v>
      </c>
      <c r="AM427" s="147">
        <f t="shared" si="98"/>
        <v>396000000</v>
      </c>
      <c r="AN427" s="147"/>
    </row>
    <row r="428" spans="17:45">
      <c r="Q428" s="97" t="s">
        <v>5560</v>
      </c>
      <c r="R428" s="93">
        <v>7278025.5327000003</v>
      </c>
      <c r="T428" s="19" t="s">
        <v>5697</v>
      </c>
      <c r="U428" s="19">
        <v>11207</v>
      </c>
      <c r="V428" s="115">
        <v>1588.685326</v>
      </c>
      <c r="W428" s="115">
        <f t="shared" si="92"/>
        <v>17804396.448481999</v>
      </c>
      <c r="X428" s="264" t="s">
        <v>5114</v>
      </c>
      <c r="Y428" t="s">
        <v>25</v>
      </c>
      <c r="Z428" t="s">
        <v>25</v>
      </c>
      <c r="AH428" s="20">
        <v>142</v>
      </c>
      <c r="AI428" s="20" t="s">
        <v>5366</v>
      </c>
      <c r="AJ428" s="115">
        <v>400000</v>
      </c>
      <c r="AK428" s="20">
        <v>0</v>
      </c>
      <c r="AL428" s="20">
        <f t="shared" si="97"/>
        <v>392</v>
      </c>
      <c r="AM428" s="20">
        <f t="shared" si="98"/>
        <v>156800000</v>
      </c>
      <c r="AN428" s="20"/>
    </row>
    <row r="429" spans="17:45">
      <c r="Q429" s="97" t="s">
        <v>5565</v>
      </c>
      <c r="R429" s="93">
        <v>195059.35799999998</v>
      </c>
      <c r="T429" s="19" t="s">
        <v>5701</v>
      </c>
      <c r="U429" s="19">
        <v>7198</v>
      </c>
      <c r="V429" s="115">
        <v>1602.9918909999999</v>
      </c>
      <c r="W429" s="115">
        <f t="shared" si="92"/>
        <v>11538335.631417999</v>
      </c>
      <c r="X429" s="264" t="s">
        <v>5114</v>
      </c>
      <c r="Y429" t="s">
        <v>25</v>
      </c>
      <c r="AH429" s="147">
        <v>143</v>
      </c>
      <c r="AI429" s="147" t="s">
        <v>5366</v>
      </c>
      <c r="AJ429" s="186">
        <v>400000</v>
      </c>
      <c r="AK429" s="147">
        <v>35</v>
      </c>
      <c r="AL429" s="147">
        <f t="shared" si="97"/>
        <v>392</v>
      </c>
      <c r="AM429" s="147">
        <f t="shared" si="98"/>
        <v>156800000</v>
      </c>
      <c r="AN429" s="147"/>
    </row>
    <row r="430" spans="17:45">
      <c r="Q430" s="97" t="s">
        <v>5567</v>
      </c>
      <c r="R430" s="93">
        <v>862577.83200000005</v>
      </c>
      <c r="T430" s="19" t="s">
        <v>5702</v>
      </c>
      <c r="U430" s="19">
        <v>7804</v>
      </c>
      <c r="V430" s="115">
        <v>1592.7111440000001</v>
      </c>
      <c r="W430" s="115">
        <f t="shared" si="92"/>
        <v>12429517.767776001</v>
      </c>
      <c r="X430" s="264" t="s">
        <v>5114</v>
      </c>
      <c r="Z430" t="s">
        <v>25</v>
      </c>
      <c r="AH430" s="20">
        <v>144</v>
      </c>
      <c r="AI430" s="20" t="s">
        <v>5400</v>
      </c>
      <c r="AJ430" s="115">
        <v>3000000</v>
      </c>
      <c r="AK430" s="20">
        <v>0</v>
      </c>
      <c r="AL430" s="20">
        <f t="shared" si="97"/>
        <v>357</v>
      </c>
      <c r="AM430" s="20">
        <f t="shared" si="98"/>
        <v>1071000000</v>
      </c>
      <c r="AN430" s="20"/>
    </row>
    <row r="431" spans="17:45">
      <c r="Q431" s="97" t="s">
        <v>5568</v>
      </c>
      <c r="R431" s="93">
        <v>920308.446</v>
      </c>
      <c r="T431" s="19" t="s">
        <v>5712</v>
      </c>
      <c r="U431" s="19">
        <v>2827</v>
      </c>
      <c r="V431" s="115">
        <v>1779.6874809999999</v>
      </c>
      <c r="W431" s="115">
        <f t="shared" si="92"/>
        <v>5031176.5087869996</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5570</v>
      </c>
      <c r="R432" s="93">
        <v>4635809.8416840006</v>
      </c>
      <c r="S432" t="s">
        <v>25</v>
      </c>
      <c r="T432" s="19" t="s">
        <v>5714</v>
      </c>
      <c r="U432" s="19">
        <v>3385</v>
      </c>
      <c r="V432" s="115">
        <v>2015.5993820000001</v>
      </c>
      <c r="W432" s="115">
        <f t="shared" si="92"/>
        <v>6822803.9080700008</v>
      </c>
      <c r="X432" s="264"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5599</v>
      </c>
      <c r="R433" s="93">
        <v>288892.40000000002</v>
      </c>
      <c r="T433" s="19" t="s">
        <v>5718</v>
      </c>
      <c r="U433" s="19">
        <v>158</v>
      </c>
      <c r="V433" s="115">
        <v>2094.2388179999998</v>
      </c>
      <c r="W433" s="115">
        <f t="shared" si="92"/>
        <v>330889.73324399994</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5600</v>
      </c>
      <c r="R434" s="93">
        <v>58508002.009000003</v>
      </c>
      <c r="T434" s="19" t="s">
        <v>965</v>
      </c>
      <c r="U434" s="19">
        <v>5033</v>
      </c>
      <c r="V434" s="115">
        <v>2229.4976999999999</v>
      </c>
      <c r="W434" s="115">
        <f t="shared" si="92"/>
        <v>11221061.924099999</v>
      </c>
      <c r="X434" s="264" t="s">
        <v>5724</v>
      </c>
      <c r="Z434" t="s">
        <v>25</v>
      </c>
      <c r="AH434" s="20">
        <v>148</v>
      </c>
      <c r="AI434" s="20" t="s">
        <v>5423</v>
      </c>
      <c r="AJ434" s="115">
        <v>35000000</v>
      </c>
      <c r="AK434" s="20">
        <v>15</v>
      </c>
      <c r="AL434" s="20">
        <f t="shared" si="99"/>
        <v>337</v>
      </c>
      <c r="AM434" s="20">
        <f t="shared" si="100"/>
        <v>11795000000</v>
      </c>
      <c r="AN434" s="20"/>
    </row>
    <row r="435" spans="17:45">
      <c r="Q435" s="97" t="s">
        <v>5602</v>
      </c>
      <c r="R435" s="93">
        <v>2245515.5410799999</v>
      </c>
      <c r="T435" s="19" t="s">
        <v>5728</v>
      </c>
      <c r="U435" s="19">
        <v>2870</v>
      </c>
      <c r="V435" s="115">
        <v>2303.2467459999998</v>
      </c>
      <c r="W435" s="115">
        <f t="shared" si="92"/>
        <v>6610318.1610199995</v>
      </c>
      <c r="X435" s="264" t="s">
        <v>5114</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5602</v>
      </c>
      <c r="R436" s="93">
        <v>18404699.3442</v>
      </c>
      <c r="T436" s="19" t="s">
        <v>5729</v>
      </c>
      <c r="U436" s="19">
        <v>307</v>
      </c>
      <c r="V436" s="115">
        <v>2315.0266360000001</v>
      </c>
      <c r="W436" s="115">
        <f t="shared" si="92"/>
        <v>710713.17725199996</v>
      </c>
      <c r="X436" s="264" t="s">
        <v>5114</v>
      </c>
      <c r="AH436" s="20">
        <v>150</v>
      </c>
      <c r="AI436" s="20" t="s">
        <v>5443</v>
      </c>
      <c r="AJ436" s="115">
        <v>1600000</v>
      </c>
      <c r="AK436" s="20">
        <v>1</v>
      </c>
      <c r="AL436" s="20">
        <f t="shared" si="101"/>
        <v>322</v>
      </c>
      <c r="AM436" s="20">
        <f t="shared" si="102"/>
        <v>515200000</v>
      </c>
      <c r="AN436" s="20"/>
    </row>
    <row r="437" spans="17:45" ht="30">
      <c r="Q437" s="97" t="s">
        <v>5605</v>
      </c>
      <c r="R437" s="93">
        <v>48684800</v>
      </c>
      <c r="S437" t="s">
        <v>25</v>
      </c>
      <c r="T437" s="19" t="s">
        <v>5731</v>
      </c>
      <c r="U437" s="19">
        <v>35</v>
      </c>
      <c r="V437" s="115">
        <v>2315</v>
      </c>
      <c r="W437" s="115">
        <f t="shared" si="92"/>
        <v>81025</v>
      </c>
      <c r="X437" s="264" t="s">
        <v>5733</v>
      </c>
      <c r="Y437" s="112"/>
      <c r="AH437" s="147">
        <v>151</v>
      </c>
      <c r="AI437" s="147" t="s">
        <v>5446</v>
      </c>
      <c r="AJ437" s="186">
        <v>600000</v>
      </c>
      <c r="AK437" s="147">
        <v>0</v>
      </c>
      <c r="AL437" s="147">
        <f t="shared" si="101"/>
        <v>321</v>
      </c>
      <c r="AM437" s="147">
        <f t="shared" si="102"/>
        <v>192600000</v>
      </c>
      <c r="AN437" s="147" t="s">
        <v>5448</v>
      </c>
    </row>
    <row r="438" spans="17:45">
      <c r="Q438" s="97" t="s">
        <v>5607</v>
      </c>
      <c r="R438" s="93">
        <v>2264658.5922190002</v>
      </c>
      <c r="T438" s="19" t="s">
        <v>5734</v>
      </c>
      <c r="U438" s="19">
        <v>94</v>
      </c>
      <c r="V438" s="115">
        <v>2337.1980119999998</v>
      </c>
      <c r="W438" s="115">
        <f t="shared" si="92"/>
        <v>219696.613128</v>
      </c>
      <c r="X438" s="264" t="s">
        <v>5114</v>
      </c>
      <c r="Y438" t="s">
        <v>25</v>
      </c>
      <c r="Z438" t="s">
        <v>25</v>
      </c>
      <c r="AH438" s="20">
        <v>152</v>
      </c>
      <c r="AI438" s="20" t="s">
        <v>5446</v>
      </c>
      <c r="AJ438" s="115">
        <v>600000</v>
      </c>
      <c r="AK438" s="20">
        <v>9</v>
      </c>
      <c r="AL438" s="20">
        <f>AK438+AL439</f>
        <v>321</v>
      </c>
      <c r="AM438" s="20">
        <f t="shared" si="102"/>
        <v>192600000</v>
      </c>
      <c r="AN438" s="20" t="s">
        <v>5448</v>
      </c>
    </row>
    <row r="439" spans="17:45">
      <c r="Q439" s="97" t="s">
        <v>5610</v>
      </c>
      <c r="R439" s="93">
        <v>22877413.789960001</v>
      </c>
      <c r="T439" s="19" t="s">
        <v>5735</v>
      </c>
      <c r="U439" s="19">
        <v>2534</v>
      </c>
      <c r="V439" s="115">
        <v>2381.7965300000001</v>
      </c>
      <c r="W439" s="115">
        <f t="shared" si="92"/>
        <v>6035472.4070199998</v>
      </c>
      <c r="X439" s="264" t="s">
        <v>5114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5611</v>
      </c>
      <c r="R440" s="93">
        <v>2362539.4373280001</v>
      </c>
      <c r="T440" s="19" t="s">
        <v>5737</v>
      </c>
      <c r="U440" s="19">
        <v>424</v>
      </c>
      <c r="V440" s="115">
        <v>2321.9017680000002</v>
      </c>
      <c r="W440" s="115">
        <f t="shared" si="92"/>
        <v>984486.34963200008</v>
      </c>
      <c r="X440" s="264" t="s">
        <v>5114</v>
      </c>
      <c r="Z440" t="s">
        <v>25</v>
      </c>
      <c r="AH440" s="20">
        <v>154</v>
      </c>
      <c r="AI440" s="20" t="s">
        <v>5502</v>
      </c>
      <c r="AJ440" s="115">
        <v>-46183500</v>
      </c>
      <c r="AK440" s="20">
        <v>0</v>
      </c>
      <c r="AL440" s="20">
        <f t="shared" si="103"/>
        <v>289</v>
      </c>
      <c r="AM440" s="20">
        <f t="shared" si="104"/>
        <v>-13347031500</v>
      </c>
      <c r="AN440" s="20" t="s">
        <v>4865</v>
      </c>
    </row>
    <row r="441" spans="17:45">
      <c r="Q441" s="97" t="s">
        <v>5612</v>
      </c>
      <c r="R441" s="93">
        <v>16042676.656608</v>
      </c>
      <c r="T441" s="187" t="s">
        <v>5739</v>
      </c>
      <c r="U441" s="187">
        <v>-32</v>
      </c>
      <c r="V441" s="186">
        <v>2221.2123710000001</v>
      </c>
      <c r="W441" s="186">
        <f t="shared" si="92"/>
        <v>-71078.795872000002</v>
      </c>
      <c r="X441" s="263" t="s">
        <v>5743</v>
      </c>
      <c r="AH441" s="147">
        <v>155</v>
      </c>
      <c r="AI441" s="147" t="s">
        <v>5502</v>
      </c>
      <c r="AJ441" s="186">
        <v>-1812800</v>
      </c>
      <c r="AK441" s="147">
        <v>2</v>
      </c>
      <c r="AL441" s="147">
        <f>AK441+AL442</f>
        <v>289</v>
      </c>
      <c r="AM441" s="147">
        <f t="shared" si="104"/>
        <v>-523899200</v>
      </c>
      <c r="AN441" s="147" t="s">
        <v>4865</v>
      </c>
    </row>
    <row r="442" spans="17:45">
      <c r="Q442" s="97" t="s">
        <v>5615</v>
      </c>
      <c r="R442" s="93">
        <v>18403291.448284</v>
      </c>
      <c r="T442" s="19" t="s">
        <v>5739</v>
      </c>
      <c r="U442" s="19">
        <v>157</v>
      </c>
      <c r="V442" s="115">
        <v>2221.2123710000001</v>
      </c>
      <c r="W442" s="115">
        <f t="shared" si="92"/>
        <v>348730.34224700002</v>
      </c>
      <c r="X442" s="264" t="s">
        <v>5744</v>
      </c>
      <c r="AH442" s="20">
        <v>156</v>
      </c>
      <c r="AI442" s="20" t="s">
        <v>5506</v>
      </c>
      <c r="AJ442" s="115">
        <v>90000</v>
      </c>
      <c r="AK442" s="20">
        <v>0</v>
      </c>
      <c r="AL442" s="20">
        <f t="shared" ref="AL442:AL456" si="105">AK442+AL443</f>
        <v>287</v>
      </c>
      <c r="AM442" s="20">
        <f t="shared" ref="AM442:AM456" si="106">AJ442*AL442</f>
        <v>25830000</v>
      </c>
      <c r="AN442" s="20"/>
    </row>
    <row r="443" spans="17:45">
      <c r="Q443" s="97" t="s">
        <v>5616</v>
      </c>
      <c r="R443" s="93">
        <v>10561447.246918</v>
      </c>
      <c r="T443" s="19" t="s">
        <v>5739</v>
      </c>
      <c r="U443" s="19">
        <v>965</v>
      </c>
      <c r="V443" s="115">
        <v>2221.2123710000001</v>
      </c>
      <c r="W443" s="115">
        <f t="shared" si="92"/>
        <v>2143469.938015</v>
      </c>
      <c r="X443" s="264" t="s">
        <v>5114</v>
      </c>
      <c r="AH443" s="147">
        <v>157</v>
      </c>
      <c r="AI443" s="147" t="s">
        <v>5506</v>
      </c>
      <c r="AJ443" s="186">
        <v>60000</v>
      </c>
      <c r="AK443" s="147">
        <v>5</v>
      </c>
      <c r="AL443" s="147">
        <f t="shared" si="105"/>
        <v>287</v>
      </c>
      <c r="AM443" s="147">
        <f t="shared" si="106"/>
        <v>17220000</v>
      </c>
      <c r="AN443" s="147"/>
    </row>
    <row r="444" spans="17:45">
      <c r="Q444" s="97" t="s">
        <v>5617</v>
      </c>
      <c r="R444" s="93">
        <v>1226811.9176660001</v>
      </c>
      <c r="T444" s="187" t="s">
        <v>5746</v>
      </c>
      <c r="U444" s="187">
        <v>596</v>
      </c>
      <c r="V444" s="186">
        <v>2180.6765719999999</v>
      </c>
      <c r="W444" s="186">
        <f t="shared" si="92"/>
        <v>1299683.236912</v>
      </c>
      <c r="X444" s="263" t="s">
        <v>1071</v>
      </c>
      <c r="Y444" t="s">
        <v>25</v>
      </c>
      <c r="AH444" s="20">
        <v>158</v>
      </c>
      <c r="AI444" s="20" t="s">
        <v>5511</v>
      </c>
      <c r="AJ444" s="115">
        <v>50000000</v>
      </c>
      <c r="AK444" s="20">
        <v>29</v>
      </c>
      <c r="AL444" s="20">
        <f t="shared" si="105"/>
        <v>282</v>
      </c>
      <c r="AM444" s="20">
        <f t="shared" si="106"/>
        <v>14100000000</v>
      </c>
      <c r="AN444" s="20" t="s">
        <v>5513</v>
      </c>
      <c r="AR444" t="s">
        <v>25</v>
      </c>
    </row>
    <row r="445" spans="17:45">
      <c r="Q445" s="97" t="s">
        <v>5622</v>
      </c>
      <c r="R445" s="93">
        <v>39373959.190266006</v>
      </c>
      <c r="T445" s="19" t="s">
        <v>5751</v>
      </c>
      <c r="U445" s="19">
        <v>1355</v>
      </c>
      <c r="V445" s="115">
        <v>2277.0926330000002</v>
      </c>
      <c r="W445" s="115">
        <f t="shared" si="92"/>
        <v>3085460.5177150001</v>
      </c>
      <c r="X445" s="264" t="s">
        <v>5114</v>
      </c>
      <c r="AH445" s="20">
        <v>159</v>
      </c>
      <c r="AI445" s="20" t="s">
        <v>5570</v>
      </c>
      <c r="AJ445" s="115">
        <v>100000</v>
      </c>
      <c r="AK445" s="20">
        <v>1</v>
      </c>
      <c r="AL445" s="20">
        <f t="shared" si="105"/>
        <v>253</v>
      </c>
      <c r="AM445" s="20">
        <f t="shared" si="106"/>
        <v>25300000</v>
      </c>
      <c r="AN445" s="20"/>
    </row>
    <row r="446" spans="17:45">
      <c r="Q446" s="97" t="s">
        <v>5623</v>
      </c>
      <c r="R446" s="93">
        <v>27703487.063980002</v>
      </c>
      <c r="T446" s="19" t="s">
        <v>5753</v>
      </c>
      <c r="U446" s="19">
        <v>3742</v>
      </c>
      <c r="V446" s="115">
        <v>2207.7650429999999</v>
      </c>
      <c r="W446" s="115">
        <f t="shared" si="92"/>
        <v>8261456.790906</v>
      </c>
      <c r="X446" s="264" t="s">
        <v>5114</v>
      </c>
      <c r="Y446" t="s">
        <v>25</v>
      </c>
      <c r="AH446" s="147">
        <v>160</v>
      </c>
      <c r="AI446" s="147" t="s">
        <v>5559</v>
      </c>
      <c r="AJ446" s="186">
        <v>150000</v>
      </c>
      <c r="AK446" s="147">
        <v>0</v>
      </c>
      <c r="AL446" s="147">
        <f t="shared" si="105"/>
        <v>252</v>
      </c>
      <c r="AM446" s="147">
        <f t="shared" si="106"/>
        <v>37800000</v>
      </c>
      <c r="AN446" s="147"/>
      <c r="AQ446" t="s">
        <v>25</v>
      </c>
    </row>
    <row r="447" spans="17:45">
      <c r="Q447" s="97" t="s">
        <v>4185</v>
      </c>
      <c r="R447" s="93">
        <v>8738896.6890719999</v>
      </c>
      <c r="T447" s="19" t="s">
        <v>5755</v>
      </c>
      <c r="U447" s="19">
        <v>3216</v>
      </c>
      <c r="V447" s="115">
        <v>2043.648557</v>
      </c>
      <c r="W447" s="115">
        <f t="shared" si="92"/>
        <v>6572373.7593120001</v>
      </c>
      <c r="X447" s="264" t="s">
        <v>5114</v>
      </c>
      <c r="AH447" s="20">
        <v>161</v>
      </c>
      <c r="AI447" s="20" t="s">
        <v>5559</v>
      </c>
      <c r="AJ447" s="115">
        <v>-683050</v>
      </c>
      <c r="AK447" s="20">
        <v>7</v>
      </c>
      <c r="AL447" s="20">
        <f t="shared" si="105"/>
        <v>252</v>
      </c>
      <c r="AM447" s="20">
        <f t="shared" si="106"/>
        <v>-172128600</v>
      </c>
      <c r="AN447" s="20" t="s">
        <v>5573</v>
      </c>
    </row>
    <row r="448" spans="17:45">
      <c r="Q448" s="97" t="s">
        <v>5625</v>
      </c>
      <c r="R448" s="93">
        <v>348201.66738</v>
      </c>
      <c r="T448" s="187" t="s">
        <v>5758</v>
      </c>
      <c r="U448" s="187">
        <v>42393</v>
      </c>
      <c r="V448" s="186">
        <v>2124.4852740000001</v>
      </c>
      <c r="W448" s="186">
        <f t="shared" si="92"/>
        <v>90063304.22068201</v>
      </c>
      <c r="X448" s="263" t="s">
        <v>5759</v>
      </c>
      <c r="Y448" t="s">
        <v>25</v>
      </c>
      <c r="AH448" s="147">
        <v>162</v>
      </c>
      <c r="AI448" s="147" t="s">
        <v>5581</v>
      </c>
      <c r="AJ448" s="186">
        <v>200000</v>
      </c>
      <c r="AK448" s="147">
        <v>7</v>
      </c>
      <c r="AL448" s="147">
        <f t="shared" si="105"/>
        <v>245</v>
      </c>
      <c r="AM448" s="147">
        <f t="shared" si="106"/>
        <v>49000000</v>
      </c>
      <c r="AN448" s="147"/>
    </row>
    <row r="449" spans="17:44">
      <c r="Q449" s="97" t="s">
        <v>5629</v>
      </c>
      <c r="R449" s="93">
        <v>4158090.8935679998</v>
      </c>
      <c r="T449" s="19" t="s">
        <v>5760</v>
      </c>
      <c r="U449" s="19">
        <v>1307</v>
      </c>
      <c r="V449" s="115">
        <v>2213.652313</v>
      </c>
      <c r="W449" s="115">
        <f t="shared" si="92"/>
        <v>2893243.5730909999</v>
      </c>
      <c r="X449" s="264" t="s">
        <v>5114</v>
      </c>
      <c r="AH449" s="147">
        <v>163</v>
      </c>
      <c r="AI449" s="147" t="s">
        <v>5586</v>
      </c>
      <c r="AJ449" s="186">
        <v>150000</v>
      </c>
      <c r="AK449" s="147">
        <v>5</v>
      </c>
      <c r="AL449" s="147">
        <f t="shared" si="105"/>
        <v>238</v>
      </c>
      <c r="AM449" s="147">
        <f t="shared" si="106"/>
        <v>35700000</v>
      </c>
      <c r="AN449" s="147"/>
      <c r="AR449" t="s">
        <v>25</v>
      </c>
    </row>
    <row r="450" spans="17:44">
      <c r="Q450" s="97" t="s">
        <v>5626</v>
      </c>
      <c r="R450" s="93">
        <v>110770524.97879399</v>
      </c>
      <c r="T450" s="19" t="s">
        <v>5762</v>
      </c>
      <c r="U450" s="19">
        <v>44079</v>
      </c>
      <c r="V450" s="115">
        <v>2155.0411519999998</v>
      </c>
      <c r="W450" s="115">
        <f t="shared" si="92"/>
        <v>94992058.939007998</v>
      </c>
      <c r="X450" s="264" t="s">
        <v>5114</v>
      </c>
      <c r="Y450" t="s">
        <v>25</v>
      </c>
      <c r="Z450" t="s">
        <v>25</v>
      </c>
      <c r="AH450" s="20">
        <v>164</v>
      </c>
      <c r="AI450" s="20" t="s">
        <v>5590</v>
      </c>
      <c r="AJ450" s="115">
        <v>320000</v>
      </c>
      <c r="AK450" s="20">
        <v>2</v>
      </c>
      <c r="AL450" s="20">
        <f t="shared" si="105"/>
        <v>233</v>
      </c>
      <c r="AM450" s="20">
        <f t="shared" si="106"/>
        <v>74560000</v>
      </c>
      <c r="AN450" s="20"/>
    </row>
    <row r="451" spans="17:44">
      <c r="Q451" s="97" t="s">
        <v>5629</v>
      </c>
      <c r="R451" s="93">
        <v>17900000</v>
      </c>
      <c r="T451" s="19" t="s">
        <v>5768</v>
      </c>
      <c r="U451" s="19">
        <v>131</v>
      </c>
      <c r="V451" s="115">
        <v>2099.4040150000001</v>
      </c>
      <c r="W451" s="115">
        <f t="shared" si="92"/>
        <v>275021.925965</v>
      </c>
      <c r="X451" s="264" t="s">
        <v>5114</v>
      </c>
      <c r="Y451" t="s">
        <v>25</v>
      </c>
      <c r="AF451" s="94" t="s">
        <v>25</v>
      </c>
      <c r="AH451" s="20">
        <v>165</v>
      </c>
      <c r="AI451" s="20" t="s">
        <v>5591</v>
      </c>
      <c r="AJ451" s="115">
        <v>200000</v>
      </c>
      <c r="AK451" s="20">
        <v>29</v>
      </c>
      <c r="AL451" s="20">
        <f t="shared" si="105"/>
        <v>231</v>
      </c>
      <c r="AM451" s="20">
        <f t="shared" si="106"/>
        <v>46200000</v>
      </c>
      <c r="AN451" s="20"/>
    </row>
    <row r="452" spans="17:44">
      <c r="Q452" s="97" t="s">
        <v>5641</v>
      </c>
      <c r="R452" s="93">
        <v>12114824.927374</v>
      </c>
      <c r="T452" s="19" t="s">
        <v>5775</v>
      </c>
      <c r="U452" s="19">
        <v>162</v>
      </c>
      <c r="V452" s="115">
        <v>2021.3081500000001</v>
      </c>
      <c r="W452" s="115">
        <f t="shared" si="92"/>
        <v>327451.9203</v>
      </c>
      <c r="X452" s="264" t="s">
        <v>5114</v>
      </c>
      <c r="Z452" t="s">
        <v>25</v>
      </c>
      <c r="AH452" s="20">
        <v>166</v>
      </c>
      <c r="AI452" s="20" t="s">
        <v>5626</v>
      </c>
      <c r="AJ452" s="115">
        <v>4200000</v>
      </c>
      <c r="AK452" s="20">
        <v>0</v>
      </c>
      <c r="AL452" s="20">
        <f t="shared" si="105"/>
        <v>202</v>
      </c>
      <c r="AM452" s="20">
        <f t="shared" si="106"/>
        <v>848400000</v>
      </c>
      <c r="AN452" s="20"/>
    </row>
    <row r="453" spans="17:44">
      <c r="Q453" s="97" t="s">
        <v>5644</v>
      </c>
      <c r="R453" s="93">
        <v>6684147.0064600008</v>
      </c>
      <c r="T453" s="19" t="s">
        <v>5787</v>
      </c>
      <c r="U453" s="19">
        <v>131</v>
      </c>
      <c r="V453" s="115">
        <v>1985.358328</v>
      </c>
      <c r="W453" s="115">
        <f t="shared" si="92"/>
        <v>260081.94096800001</v>
      </c>
      <c r="X453" s="264" t="s">
        <v>5114</v>
      </c>
      <c r="Z453" t="s">
        <v>25</v>
      </c>
      <c r="AH453" s="147">
        <v>167</v>
      </c>
      <c r="AI453" s="147" t="s">
        <v>5626</v>
      </c>
      <c r="AJ453" s="186">
        <v>3300000</v>
      </c>
      <c r="AK453" s="147">
        <v>11</v>
      </c>
      <c r="AL453" s="147">
        <f t="shared" si="105"/>
        <v>202</v>
      </c>
      <c r="AM453" s="147">
        <f t="shared" si="106"/>
        <v>666600000</v>
      </c>
      <c r="AN453" s="147"/>
    </row>
    <row r="454" spans="17:44">
      <c r="Q454" s="97" t="s">
        <v>5648</v>
      </c>
      <c r="R454" s="93">
        <v>1826535.2307560001</v>
      </c>
      <c r="T454" s="19" t="s">
        <v>5798</v>
      </c>
      <c r="U454" s="19">
        <v>1449</v>
      </c>
      <c r="V454" s="115">
        <v>2007.787806</v>
      </c>
      <c r="W454" s="115">
        <f t="shared" si="92"/>
        <v>2909284.5308940001</v>
      </c>
      <c r="X454" s="264" t="s">
        <v>5114</v>
      </c>
      <c r="Z454" t="s">
        <v>25</v>
      </c>
      <c r="AH454" s="147">
        <v>168</v>
      </c>
      <c r="AI454" s="147" t="s">
        <v>5650</v>
      </c>
      <c r="AJ454" s="186">
        <v>-1500000</v>
      </c>
      <c r="AK454" s="147">
        <v>42</v>
      </c>
      <c r="AL454" s="147">
        <f t="shared" si="105"/>
        <v>191</v>
      </c>
      <c r="AM454" s="147">
        <f t="shared" si="106"/>
        <v>-286500000</v>
      </c>
      <c r="AN454" s="147"/>
    </row>
    <row r="455" spans="17:44">
      <c r="Q455" s="97" t="s">
        <v>5650</v>
      </c>
      <c r="R455" s="93">
        <v>3577366.94</v>
      </c>
      <c r="T455" s="19" t="s">
        <v>5799</v>
      </c>
      <c r="U455" s="19">
        <v>19028</v>
      </c>
      <c r="V455" s="115">
        <v>1982.5102529999999</v>
      </c>
      <c r="W455" s="115">
        <f t="shared" si="92"/>
        <v>37723205.094084002</v>
      </c>
      <c r="X455" s="264" t="s">
        <v>5114</v>
      </c>
      <c r="Y455" t="s">
        <v>25</v>
      </c>
      <c r="Z455" t="s">
        <v>25</v>
      </c>
      <c r="AH455" s="20">
        <v>169</v>
      </c>
      <c r="AI455" s="20" t="s">
        <v>5697</v>
      </c>
      <c r="AJ455" s="115">
        <v>260000</v>
      </c>
      <c r="AK455" s="20">
        <v>22</v>
      </c>
      <c r="AL455" s="20">
        <f t="shared" si="105"/>
        <v>149</v>
      </c>
      <c r="AM455" s="20">
        <f t="shared" si="106"/>
        <v>38740000</v>
      </c>
      <c r="AN455" s="20"/>
    </row>
    <row r="456" spans="17:44">
      <c r="Q456" s="97" t="s">
        <v>5654</v>
      </c>
      <c r="R456" s="93">
        <v>21239029.173567999</v>
      </c>
      <c r="T456" s="19" t="s">
        <v>5800</v>
      </c>
      <c r="U456" s="19">
        <v>848</v>
      </c>
      <c r="V456" s="115">
        <v>1768.97966</v>
      </c>
      <c r="W456" s="115">
        <f t="shared" si="92"/>
        <v>1500094.75168</v>
      </c>
      <c r="X456" s="264" t="s">
        <v>5114</v>
      </c>
      <c r="AH456" s="20">
        <v>170</v>
      </c>
      <c r="AI456" s="20" t="s">
        <v>5729</v>
      </c>
      <c r="AJ456" s="115">
        <v>20000</v>
      </c>
      <c r="AK456" s="20">
        <v>0</v>
      </c>
      <c r="AL456" s="20">
        <f t="shared" si="105"/>
        <v>127</v>
      </c>
      <c r="AM456" s="20">
        <f t="shared" si="106"/>
        <v>2540000</v>
      </c>
      <c r="AN456" s="20"/>
    </row>
    <row r="457" spans="17:44">
      <c r="Q457" s="97" t="s">
        <v>5659</v>
      </c>
      <c r="R457" s="93">
        <v>242957252.40163299</v>
      </c>
      <c r="T457" s="19" t="s">
        <v>5801</v>
      </c>
      <c r="U457" s="19">
        <v>3824</v>
      </c>
      <c r="V457" s="115">
        <v>1890.8547169999999</v>
      </c>
      <c r="W457" s="115">
        <f t="shared" si="92"/>
        <v>7230628.4378079996</v>
      </c>
      <c r="X457" s="264" t="s">
        <v>5114</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5660</v>
      </c>
      <c r="R458" s="93">
        <v>7357181.2750800001</v>
      </c>
      <c r="T458" s="19" t="s">
        <v>5803</v>
      </c>
      <c r="U458" s="19">
        <v>14010</v>
      </c>
      <c r="V458" s="115">
        <v>2124.7244390000001</v>
      </c>
      <c r="W458" s="115">
        <f t="shared" si="92"/>
        <v>29767389.390390001</v>
      </c>
      <c r="X458" s="264" t="s">
        <v>5114</v>
      </c>
      <c r="AA458" t="s">
        <v>25</v>
      </c>
      <c r="AH458" s="147">
        <v>172</v>
      </c>
      <c r="AI458" s="147" t="s">
        <v>5739</v>
      </c>
      <c r="AJ458" s="186">
        <v>70000</v>
      </c>
      <c r="AK458" s="147">
        <v>0</v>
      </c>
      <c r="AL458" s="147">
        <f t="shared" si="107"/>
        <v>120</v>
      </c>
      <c r="AM458" s="147">
        <f t="shared" si="108"/>
        <v>8400000</v>
      </c>
      <c r="AN458" s="147"/>
    </row>
    <row r="459" spans="17:44">
      <c r="Q459" s="97" t="s">
        <v>5664</v>
      </c>
      <c r="R459" s="93">
        <v>14951411.942400001</v>
      </c>
      <c r="T459" s="19" t="s">
        <v>5804</v>
      </c>
      <c r="U459" s="19">
        <v>73</v>
      </c>
      <c r="V459" s="115">
        <v>2076.1678900000002</v>
      </c>
      <c r="W459" s="115">
        <f t="shared" si="92"/>
        <v>151560.25597</v>
      </c>
      <c r="X459" s="264" t="s">
        <v>5114</v>
      </c>
      <c r="AH459" s="20">
        <v>173</v>
      </c>
      <c r="AI459" s="20" t="s">
        <v>5739</v>
      </c>
      <c r="AJ459" s="115">
        <v>70000</v>
      </c>
      <c r="AK459" s="20">
        <v>1</v>
      </c>
      <c r="AL459" s="20">
        <f t="shared" si="107"/>
        <v>120</v>
      </c>
      <c r="AM459" s="20">
        <f t="shared" si="108"/>
        <v>8400000</v>
      </c>
      <c r="AN459" s="20"/>
    </row>
    <row r="460" spans="17:44">
      <c r="Q460" s="97" t="s">
        <v>5666</v>
      </c>
      <c r="R460" s="93">
        <v>47928209.377011999</v>
      </c>
      <c r="T460" s="19" t="s">
        <v>5806</v>
      </c>
      <c r="U460" s="19">
        <v>236</v>
      </c>
      <c r="V460" s="115">
        <v>2039.4867830000001</v>
      </c>
      <c r="W460" s="115">
        <f t="shared" si="92"/>
        <v>481318.88078800001</v>
      </c>
      <c r="X460" s="264" t="s">
        <v>5114</v>
      </c>
      <c r="AH460" s="20">
        <v>174</v>
      </c>
      <c r="AI460" s="20" t="s">
        <v>5746</v>
      </c>
      <c r="AJ460" s="115">
        <v>330000</v>
      </c>
      <c r="AK460" s="20">
        <v>0</v>
      </c>
      <c r="AL460" s="20">
        <f t="shared" si="107"/>
        <v>119</v>
      </c>
      <c r="AM460" s="20">
        <f t="shared" si="108"/>
        <v>39270000</v>
      </c>
      <c r="AN460" s="20"/>
    </row>
    <row r="461" spans="17:44">
      <c r="Q461" s="97" t="s">
        <v>5668</v>
      </c>
      <c r="R461" s="93">
        <v>2281595.69937</v>
      </c>
      <c r="T461" s="19" t="s">
        <v>5809</v>
      </c>
      <c r="U461" s="19">
        <v>75</v>
      </c>
      <c r="V461" s="115">
        <v>1950.3675760000001</v>
      </c>
      <c r="W461" s="115">
        <f t="shared" si="92"/>
        <v>146277.56820000001</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5669</v>
      </c>
      <c r="R462" s="93">
        <v>2964916.035069</v>
      </c>
      <c r="T462" s="19" t="s">
        <v>5822</v>
      </c>
      <c r="U462" s="19">
        <v>232</v>
      </c>
      <c r="V462" s="115">
        <v>1830.5750069999999</v>
      </c>
      <c r="W462" s="115">
        <f t="shared" si="92"/>
        <v>424693.40162399999</v>
      </c>
      <c r="X462" s="264" t="s">
        <v>5114</v>
      </c>
      <c r="Y462" t="s">
        <v>25</v>
      </c>
      <c r="AH462" s="147">
        <v>176</v>
      </c>
      <c r="AI462" s="147" t="s">
        <v>5758</v>
      </c>
      <c r="AJ462" s="186">
        <v>90000000</v>
      </c>
      <c r="AK462" s="147">
        <v>16</v>
      </c>
      <c r="AL462" s="147">
        <f t="shared" si="109"/>
        <v>109</v>
      </c>
      <c r="AM462" s="147">
        <f t="shared" si="110"/>
        <v>9810000000</v>
      </c>
      <c r="AN462" s="147"/>
    </row>
    <row r="463" spans="17:44">
      <c r="Q463" s="97" t="s">
        <v>5671</v>
      </c>
      <c r="R463" s="93">
        <v>6460549.4269619994</v>
      </c>
      <c r="T463" s="19" t="s">
        <v>5825</v>
      </c>
      <c r="U463" s="19">
        <v>308</v>
      </c>
      <c r="V463" s="115">
        <v>1812.728578</v>
      </c>
      <c r="W463" s="115">
        <f t="shared" si="92"/>
        <v>558320.40202399995</v>
      </c>
      <c r="X463" s="264" t="s">
        <v>5114</v>
      </c>
      <c r="Y463" t="s">
        <v>25</v>
      </c>
      <c r="AH463" s="147">
        <v>177</v>
      </c>
      <c r="AI463" s="147" t="s">
        <v>5785</v>
      </c>
      <c r="AJ463" s="186">
        <v>-15000000</v>
      </c>
      <c r="AK463" s="147">
        <v>65</v>
      </c>
      <c r="AL463" s="147">
        <f t="shared" si="109"/>
        <v>93</v>
      </c>
      <c r="AM463" s="147">
        <f t="shared" si="110"/>
        <v>-1395000000</v>
      </c>
      <c r="AN463" s="147" t="s">
        <v>5786</v>
      </c>
    </row>
    <row r="464" spans="17:44">
      <c r="Q464" s="97" t="s">
        <v>5674</v>
      </c>
      <c r="R464" s="93">
        <v>5212319.8968359996</v>
      </c>
      <c r="T464" s="19" t="s">
        <v>5827</v>
      </c>
      <c r="U464" s="19">
        <v>106</v>
      </c>
      <c r="V464" s="115">
        <v>1958.8888869</v>
      </c>
      <c r="W464" s="115">
        <f t="shared" si="92"/>
        <v>207642.22201140001</v>
      </c>
      <c r="X464" s="264" t="s">
        <v>5114</v>
      </c>
      <c r="AA464" t="s">
        <v>25</v>
      </c>
      <c r="AH464" s="147">
        <v>178</v>
      </c>
      <c r="AI464" s="147" t="s">
        <v>5851</v>
      </c>
      <c r="AJ464" s="186">
        <v>33833075</v>
      </c>
      <c r="AK464" s="147">
        <v>0</v>
      </c>
      <c r="AL464" s="147">
        <f t="shared" si="109"/>
        <v>28</v>
      </c>
      <c r="AM464" s="147">
        <f t="shared" si="110"/>
        <v>947326100</v>
      </c>
      <c r="AN464" s="147" t="s">
        <v>5855</v>
      </c>
      <c r="AR464" t="s">
        <v>25</v>
      </c>
    </row>
    <row r="465" spans="17:45">
      <c r="Q465" s="97" t="s">
        <v>5676</v>
      </c>
      <c r="R465" s="93">
        <v>4524496.4792809999</v>
      </c>
      <c r="T465" s="19" t="s">
        <v>5851</v>
      </c>
      <c r="U465" s="19">
        <v>17050</v>
      </c>
      <c r="V465" s="115">
        <v>1984.311475</v>
      </c>
      <c r="W465" s="115">
        <f t="shared" si="92"/>
        <v>33832510.64875</v>
      </c>
      <c r="X465" s="264" t="s">
        <v>5853</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5678</v>
      </c>
      <c r="R466" s="93">
        <v>22866040.240959998</v>
      </c>
      <c r="T466" s="19" t="s">
        <v>5851</v>
      </c>
      <c r="U466" s="19">
        <v>17050</v>
      </c>
      <c r="V466" s="115">
        <v>1984.311475</v>
      </c>
      <c r="W466" s="115">
        <f t="shared" si="92"/>
        <v>33832510.64875</v>
      </c>
      <c r="X466" s="264" t="s">
        <v>5854</v>
      </c>
      <c r="Y466" t="s">
        <v>25</v>
      </c>
      <c r="AH466" s="147">
        <v>198</v>
      </c>
      <c r="AI466" s="147" t="s">
        <v>5883</v>
      </c>
      <c r="AJ466" s="186">
        <v>-22520813.151772</v>
      </c>
      <c r="AK466" s="147">
        <v>0</v>
      </c>
      <c r="AL466" s="147">
        <f>AK466+AL477</f>
        <v>0</v>
      </c>
      <c r="AM466" s="147">
        <f t="shared" si="110"/>
        <v>0</v>
      </c>
      <c r="AN466" s="147" t="s">
        <v>5893</v>
      </c>
    </row>
    <row r="467" spans="17:45">
      <c r="Q467" s="97" t="s">
        <v>5680</v>
      </c>
      <c r="R467" s="93">
        <v>15359304.269892</v>
      </c>
      <c r="T467" s="19" t="s">
        <v>5856</v>
      </c>
      <c r="U467" s="19">
        <v>9659</v>
      </c>
      <c r="V467" s="115">
        <v>2073.8685089999999</v>
      </c>
      <c r="W467" s="115">
        <f t="shared" si="92"/>
        <v>20031495.928431001</v>
      </c>
      <c r="X467" s="264" t="s">
        <v>5857</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5681</v>
      </c>
      <c r="R468" s="93">
        <v>2868508.1846330003</v>
      </c>
      <c r="T468" s="19" t="s">
        <v>5866</v>
      </c>
      <c r="U468" s="19">
        <v>323</v>
      </c>
      <c r="V468" s="115">
        <v>1975.162028</v>
      </c>
      <c r="W468" s="115">
        <f t="shared" si="92"/>
        <v>637977.33504399995</v>
      </c>
      <c r="X468" s="264" t="s">
        <v>5114</v>
      </c>
      <c r="AH468" s="20">
        <v>200</v>
      </c>
      <c r="AI468" s="20" t="s">
        <v>5883</v>
      </c>
      <c r="AJ468" s="115">
        <v>50000000</v>
      </c>
      <c r="AK468" s="20">
        <v>1</v>
      </c>
      <c r="AL468" s="20">
        <f t="shared" si="111"/>
        <v>41</v>
      </c>
      <c r="AM468" s="20">
        <f t="shared" si="112"/>
        <v>2050000000</v>
      </c>
      <c r="AN468" s="20" t="s">
        <v>5895</v>
      </c>
    </row>
    <row r="469" spans="17:45">
      <c r="Q469" s="97" t="s">
        <v>5682</v>
      </c>
      <c r="R469" s="93">
        <v>17450393.011856001</v>
      </c>
      <c r="T469" s="19" t="s">
        <v>5867</v>
      </c>
      <c r="U469" s="19">
        <v>238</v>
      </c>
      <c r="V469" s="115">
        <v>1960.303598</v>
      </c>
      <c r="W469" s="115">
        <f t="shared" si="92"/>
        <v>466552.25632400002</v>
      </c>
      <c r="X469" s="264" t="s">
        <v>5114</v>
      </c>
      <c r="Z469" t="s">
        <v>25</v>
      </c>
      <c r="AH469" s="20">
        <v>201</v>
      </c>
      <c r="AI469" s="20" t="s">
        <v>5901</v>
      </c>
      <c r="AJ469" s="115">
        <v>50000000</v>
      </c>
      <c r="AK469" s="20">
        <v>8</v>
      </c>
      <c r="AL469" s="20">
        <f t="shared" si="111"/>
        <v>40</v>
      </c>
      <c r="AM469" s="20">
        <f t="shared" si="112"/>
        <v>2000000000</v>
      </c>
      <c r="AN469" s="20" t="s">
        <v>5895</v>
      </c>
    </row>
    <row r="470" spans="17:45">
      <c r="Q470" s="97" t="s">
        <v>5683</v>
      </c>
      <c r="R470" s="93">
        <v>31388943.254850004</v>
      </c>
      <c r="T470" s="19" t="s">
        <v>5868</v>
      </c>
      <c r="U470" s="19">
        <v>75</v>
      </c>
      <c r="V470" s="115">
        <v>1990.893174</v>
      </c>
      <c r="W470" s="115">
        <f t="shared" si="92"/>
        <v>149316.98805000001</v>
      </c>
      <c r="X470" s="264" t="s">
        <v>5869</v>
      </c>
      <c r="Z470" t="s">
        <v>25</v>
      </c>
      <c r="AH470" s="20">
        <v>202</v>
      </c>
      <c r="AI470" s="20" t="s">
        <v>6453</v>
      </c>
      <c r="AJ470" s="115">
        <v>30000000</v>
      </c>
      <c r="AK470" s="20">
        <v>2</v>
      </c>
      <c r="AL470" s="20">
        <f t="shared" si="111"/>
        <v>32</v>
      </c>
      <c r="AM470" s="20">
        <f t="shared" si="112"/>
        <v>960000000</v>
      </c>
      <c r="AN470" s="20" t="s">
        <v>6455</v>
      </c>
    </row>
    <row r="471" spans="17:45">
      <c r="Q471" s="97" t="s">
        <v>5685</v>
      </c>
      <c r="R471" s="93">
        <v>30912095.373174001</v>
      </c>
      <c r="T471" s="19" t="s">
        <v>5868</v>
      </c>
      <c r="U471" s="19">
        <v>95</v>
      </c>
      <c r="V471" s="115">
        <v>1990.893174</v>
      </c>
      <c r="W471" s="115">
        <f t="shared" si="92"/>
        <v>189134.85153000001</v>
      </c>
      <c r="X471" s="264" t="s">
        <v>5114</v>
      </c>
      <c r="Z471" t="s">
        <v>25</v>
      </c>
      <c r="AH471" s="147">
        <v>203</v>
      </c>
      <c r="AI471" s="147" t="s">
        <v>6461</v>
      </c>
      <c r="AJ471" s="186">
        <v>20000000</v>
      </c>
      <c r="AK471" s="147">
        <v>29</v>
      </c>
      <c r="AL471" s="147">
        <f t="shared" si="111"/>
        <v>30</v>
      </c>
      <c r="AM471" s="147">
        <f t="shared" si="112"/>
        <v>600000000</v>
      </c>
      <c r="AN471" s="147" t="s">
        <v>6462</v>
      </c>
    </row>
    <row r="472" spans="17:45">
      <c r="Q472" s="97" t="s">
        <v>5689</v>
      </c>
      <c r="R472" s="93">
        <v>19602926.115093999</v>
      </c>
      <c r="T472" s="19" t="s">
        <v>5873</v>
      </c>
      <c r="U472" s="19">
        <v>284</v>
      </c>
      <c r="V472" s="115">
        <v>1989.045169</v>
      </c>
      <c r="W472" s="115">
        <f t="shared" si="92"/>
        <v>564888.82799599995</v>
      </c>
      <c r="X472" s="264" t="s">
        <v>5114</v>
      </c>
      <c r="Z472" t="s">
        <v>25</v>
      </c>
      <c r="AH472" s="147">
        <v>204</v>
      </c>
      <c r="AI472" s="147" t="s">
        <v>6510</v>
      </c>
      <c r="AJ472" s="186">
        <v>-20000000</v>
      </c>
      <c r="AK472" s="147">
        <v>0</v>
      </c>
      <c r="AL472" s="147">
        <f t="shared" si="111"/>
        <v>1</v>
      </c>
      <c r="AM472" s="147">
        <f t="shared" si="112"/>
        <v>-20000000</v>
      </c>
      <c r="AN472" s="147" t="s">
        <v>6511</v>
      </c>
    </row>
    <row r="473" spans="17:45" ht="30">
      <c r="Q473" s="97" t="s">
        <v>5691</v>
      </c>
      <c r="R473" s="93">
        <v>34458590.308710001</v>
      </c>
      <c r="T473" s="187" t="s">
        <v>5883</v>
      </c>
      <c r="U473" s="187">
        <v>11034</v>
      </c>
      <c r="V473" s="186">
        <v>1960.6845390000001</v>
      </c>
      <c r="W473" s="186">
        <f t="shared" si="92"/>
        <v>21634193.203326002</v>
      </c>
      <c r="X473" s="263" t="s">
        <v>5889</v>
      </c>
      <c r="Z473" t="s">
        <v>25</v>
      </c>
      <c r="AH473" s="147">
        <v>205</v>
      </c>
      <c r="AI473" s="147" t="s">
        <v>6510</v>
      </c>
      <c r="AJ473" s="186">
        <v>2000000</v>
      </c>
      <c r="AK473" s="147">
        <v>1</v>
      </c>
      <c r="AL473" s="147">
        <f t="shared" si="111"/>
        <v>1</v>
      </c>
      <c r="AM473" s="147">
        <f t="shared" si="112"/>
        <v>2000000</v>
      </c>
      <c r="AN473" s="147" t="s">
        <v>6512</v>
      </c>
    </row>
    <row r="474" spans="17:45" ht="30">
      <c r="Q474" s="97" t="s">
        <v>5693</v>
      </c>
      <c r="R474" s="93">
        <v>21697868.203256</v>
      </c>
      <c r="T474" s="19" t="s">
        <v>5883</v>
      </c>
      <c r="U474" s="19">
        <v>4469</v>
      </c>
      <c r="V474" s="115">
        <v>1960.6845390000001</v>
      </c>
      <c r="W474" s="115">
        <f t="shared" si="92"/>
        <v>8762299.2047910001</v>
      </c>
      <c r="X474" s="264" t="s">
        <v>5890</v>
      </c>
      <c r="Z474" t="s">
        <v>25</v>
      </c>
      <c r="AH474" s="20"/>
      <c r="AI474" s="20"/>
      <c r="AJ474" s="115"/>
      <c r="AK474" s="20"/>
      <c r="AL474" s="20">
        <f t="shared" si="111"/>
        <v>0</v>
      </c>
      <c r="AM474" s="20">
        <f t="shared" si="112"/>
        <v>0</v>
      </c>
      <c r="AN474" s="20"/>
    </row>
    <row r="475" spans="17:45">
      <c r="Q475" s="97" t="s">
        <v>5694</v>
      </c>
      <c r="R475" s="93">
        <v>25340079.252110001</v>
      </c>
      <c r="T475" s="19" t="s">
        <v>5883</v>
      </c>
      <c r="U475" s="19">
        <v>-174834</v>
      </c>
      <c r="V475" s="115">
        <v>1955.271154</v>
      </c>
      <c r="W475" s="115">
        <f t="shared" si="92"/>
        <v>-341847876.93843603</v>
      </c>
      <c r="X475" s="264" t="s">
        <v>5891</v>
      </c>
      <c r="AH475" s="20"/>
      <c r="AI475" s="20"/>
      <c r="AJ475" s="115"/>
      <c r="AK475" s="20"/>
      <c r="AL475" s="20">
        <f t="shared" si="111"/>
        <v>0</v>
      </c>
      <c r="AM475" s="20">
        <f t="shared" si="112"/>
        <v>0</v>
      </c>
      <c r="AN475" s="20"/>
    </row>
    <row r="476" spans="17:45">
      <c r="Q476" s="97" t="s">
        <v>5697</v>
      </c>
      <c r="R476" s="93">
        <v>14780983.183526</v>
      </c>
      <c r="T476" s="19" t="s">
        <v>5883</v>
      </c>
      <c r="U476" s="19">
        <v>-78942</v>
      </c>
      <c r="V476" s="115">
        <v>1955.271154</v>
      </c>
      <c r="W476" s="115">
        <f t="shared" si="92"/>
        <v>-154353015.43906799</v>
      </c>
      <c r="X476" s="264" t="s">
        <v>5892</v>
      </c>
      <c r="Z476" t="s">
        <v>25</v>
      </c>
      <c r="AA476" t="s">
        <v>25</v>
      </c>
      <c r="AH476" s="20"/>
      <c r="AI476" s="20"/>
      <c r="AJ476" s="115"/>
      <c r="AK476" s="20"/>
      <c r="AL476" s="20">
        <f t="shared" si="111"/>
        <v>0</v>
      </c>
      <c r="AM476" s="20">
        <f t="shared" si="112"/>
        <v>0</v>
      </c>
      <c r="AN476" s="20"/>
    </row>
    <row r="477" spans="17:45">
      <c r="Q477" s="97" t="s">
        <v>5697</v>
      </c>
      <c r="R477" s="93">
        <v>17804396.448481999</v>
      </c>
      <c r="T477" s="187" t="s">
        <v>5883</v>
      </c>
      <c r="U477" s="187">
        <v>-11518</v>
      </c>
      <c r="V477" s="186">
        <v>1955.271154</v>
      </c>
      <c r="W477" s="186">
        <f t="shared" si="92"/>
        <v>-22520813.151772</v>
      </c>
      <c r="X477" s="263" t="s">
        <v>5893</v>
      </c>
      <c r="AH477" s="97"/>
      <c r="AI477" s="97"/>
      <c r="AJ477" s="115"/>
      <c r="AK477" s="97"/>
      <c r="AL477" s="20">
        <f t="shared" si="111"/>
        <v>0</v>
      </c>
      <c r="AM477" s="20">
        <f t="shared" si="112"/>
        <v>0</v>
      </c>
      <c r="AN477" s="20"/>
    </row>
    <row r="478" spans="17:45">
      <c r="Q478" s="97" t="s">
        <v>5701</v>
      </c>
      <c r="R478" s="93">
        <v>260260000</v>
      </c>
      <c r="T478" s="19" t="s">
        <v>5905</v>
      </c>
      <c r="U478" s="19">
        <v>8622</v>
      </c>
      <c r="V478" s="115">
        <v>1930.4022150000001</v>
      </c>
      <c r="W478" s="115">
        <f t="shared" si="92"/>
        <v>16643927.89773</v>
      </c>
      <c r="X478" s="264" t="s">
        <v>744</v>
      </c>
      <c r="Z478" t="s">
        <v>25</v>
      </c>
      <c r="AH478" s="97"/>
      <c r="AI478" s="97"/>
      <c r="AJ478" s="115"/>
      <c r="AK478" s="97"/>
      <c r="AL478" s="20">
        <f t="shared" si="107"/>
        <v>0</v>
      </c>
      <c r="AM478" s="20">
        <f t="shared" si="108"/>
        <v>0</v>
      </c>
      <c r="AN478" s="97"/>
    </row>
    <row r="479" spans="17:45">
      <c r="Q479" s="97" t="s">
        <v>5702</v>
      </c>
      <c r="R479" s="93">
        <v>11538335.631417999</v>
      </c>
      <c r="T479" s="19" t="s">
        <v>5906</v>
      </c>
      <c r="U479" s="19">
        <v>17384</v>
      </c>
      <c r="V479" s="115">
        <v>1918.745255</v>
      </c>
      <c r="W479" s="115">
        <f t="shared" si="92"/>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5918</v>
      </c>
      <c r="U480" s="19">
        <v>133</v>
      </c>
      <c r="V480" s="115">
        <v>1954.8389770000001</v>
      </c>
      <c r="W480" s="115">
        <f t="shared" si="92"/>
        <v>259993.58394100002</v>
      </c>
      <c r="X480" s="264" t="s">
        <v>5114</v>
      </c>
      <c r="AJ480" t="s">
        <v>4043</v>
      </c>
      <c r="AM480" t="s">
        <v>284</v>
      </c>
      <c r="AN480" t="s">
        <v>928</v>
      </c>
    </row>
    <row r="481" spans="17:40">
      <c r="Q481" s="97" t="s">
        <v>5714</v>
      </c>
      <c r="R481" s="93">
        <v>5031176.5087869996</v>
      </c>
      <c r="T481" s="19" t="s">
        <v>5922</v>
      </c>
      <c r="U481" s="19">
        <v>140</v>
      </c>
      <c r="V481" s="115">
        <v>1928.2522289999999</v>
      </c>
      <c r="W481" s="115">
        <f t="shared" si="92"/>
        <v>269955.31205999997</v>
      </c>
      <c r="X481" s="264" t="s">
        <v>5114</v>
      </c>
      <c r="Y481" t="s">
        <v>25</v>
      </c>
      <c r="AA481" t="s">
        <v>25</v>
      </c>
    </row>
    <row r="482" spans="17:40">
      <c r="Q482" s="97" t="s">
        <v>5718</v>
      </c>
      <c r="R482" s="93">
        <v>6822803.9080700008</v>
      </c>
      <c r="T482" s="19" t="s">
        <v>6456</v>
      </c>
      <c r="U482" s="19">
        <v>15839</v>
      </c>
      <c r="V482" s="115">
        <v>1893.9957079999999</v>
      </c>
      <c r="W482" s="115">
        <f t="shared" si="92"/>
        <v>29998998.019012</v>
      </c>
      <c r="X482" s="264" t="s">
        <v>6455</v>
      </c>
      <c r="Z482" t="s">
        <v>25</v>
      </c>
      <c r="AI482" t="s">
        <v>4045</v>
      </c>
      <c r="AJ482" s="112">
        <f>AJ479+AN479</f>
        <v>323780714.39298034</v>
      </c>
      <c r="AM482" t="s">
        <v>25</v>
      </c>
    </row>
    <row r="483" spans="17:40">
      <c r="Q483" s="97" t="s">
        <v>5728</v>
      </c>
      <c r="R483" s="93">
        <v>330889.73324399994</v>
      </c>
      <c r="T483" s="19" t="s">
        <v>6461</v>
      </c>
      <c r="U483" s="19">
        <v>26601</v>
      </c>
      <c r="V483" s="115">
        <v>1880.082026</v>
      </c>
      <c r="W483" s="115">
        <f t="shared" si="92"/>
        <v>50012061.973626003</v>
      </c>
      <c r="X483" s="264" t="s">
        <v>5354</v>
      </c>
      <c r="AI483" t="s">
        <v>4048</v>
      </c>
      <c r="AJ483" s="112">
        <f>SUM(N20:N31)</f>
        <v>3327097285</v>
      </c>
    </row>
    <row r="484" spans="17:40">
      <c r="Q484" s="97" t="s">
        <v>5729</v>
      </c>
      <c r="R484" s="93">
        <v>6610318.1610199995</v>
      </c>
      <c r="T484" s="187" t="s">
        <v>6461</v>
      </c>
      <c r="U484" s="187">
        <v>10637</v>
      </c>
      <c r="V484" s="186">
        <v>1880.082026</v>
      </c>
      <c r="W484" s="186">
        <f t="shared" si="92"/>
        <v>19998432.510561999</v>
      </c>
      <c r="X484" s="263" t="s">
        <v>6462</v>
      </c>
      <c r="Y484" t="s">
        <v>25</v>
      </c>
      <c r="AI484" t="s">
        <v>4118</v>
      </c>
      <c r="AJ484" s="112">
        <f>AJ483-AJ479</f>
        <v>3125304608.151772</v>
      </c>
    </row>
    <row r="485" spans="17:40">
      <c r="Q485" s="97" t="s">
        <v>5731</v>
      </c>
      <c r="R485" s="93">
        <v>710713.17725199996</v>
      </c>
      <c r="T485" s="19" t="s">
        <v>6470</v>
      </c>
      <c r="U485" s="19">
        <v>306</v>
      </c>
      <c r="V485" s="115">
        <v>1831.8117119999999</v>
      </c>
      <c r="W485" s="115">
        <f t="shared" si="92"/>
        <v>560534.38387200003</v>
      </c>
      <c r="X485" s="264" t="s">
        <v>5114</v>
      </c>
      <c r="Y485" t="s">
        <v>25</v>
      </c>
      <c r="AI485" t="s">
        <v>928</v>
      </c>
      <c r="AJ485" s="112">
        <f>AN479</f>
        <v>121988037.54475237</v>
      </c>
    </row>
    <row r="486" spans="17:40">
      <c r="Q486" s="97" t="s">
        <v>5734</v>
      </c>
      <c r="R486" s="93">
        <v>81025</v>
      </c>
      <c r="T486" s="19" t="s">
        <v>6479</v>
      </c>
      <c r="U486" s="19">
        <v>325</v>
      </c>
      <c r="V486" s="115">
        <v>1789.1845169999999</v>
      </c>
      <c r="W486" s="115">
        <f t="shared" si="92"/>
        <v>581484.96802499995</v>
      </c>
      <c r="X486" s="264" t="s">
        <v>5114</v>
      </c>
      <c r="Z486" t="s">
        <v>25</v>
      </c>
      <c r="AI486" t="s">
        <v>4049</v>
      </c>
      <c r="AJ486" s="112">
        <f>AJ484-AJ485</f>
        <v>3003316570.6070194</v>
      </c>
      <c r="AM486" t="s">
        <v>25</v>
      </c>
      <c r="AN486" t="s">
        <v>25</v>
      </c>
    </row>
    <row r="487" spans="17:40">
      <c r="Q487" s="97" t="s">
        <v>5735</v>
      </c>
      <c r="R487" s="93">
        <v>219696.613128</v>
      </c>
      <c r="T487" s="19" t="s">
        <v>6482</v>
      </c>
      <c r="U487" s="19">
        <v>1154</v>
      </c>
      <c r="V487" s="115">
        <v>1851.788857</v>
      </c>
      <c r="W487" s="115">
        <f t="shared" si="92"/>
        <v>2136964.3409779998</v>
      </c>
      <c r="X487" s="264" t="s">
        <v>5114</v>
      </c>
      <c r="Z487" t="s">
        <v>25</v>
      </c>
      <c r="AA487" t="s">
        <v>25</v>
      </c>
      <c r="AL487" t="s">
        <v>25</v>
      </c>
      <c r="AM487" t="s">
        <v>25</v>
      </c>
      <c r="AN487" t="s">
        <v>25</v>
      </c>
    </row>
    <row r="488" spans="17:40" ht="30">
      <c r="Q488" s="97" t="s">
        <v>5737</v>
      </c>
      <c r="R488" s="93">
        <v>6035472.4070199998</v>
      </c>
      <c r="T488" s="19" t="s">
        <v>6482</v>
      </c>
      <c r="U488" s="19">
        <v>3240</v>
      </c>
      <c r="V488" s="115">
        <v>1851.788857</v>
      </c>
      <c r="W488" s="115">
        <f t="shared" si="92"/>
        <v>5999795.8966800002</v>
      </c>
      <c r="X488" s="264" t="s">
        <v>6484</v>
      </c>
    </row>
    <row r="489" spans="17:40">
      <c r="Q489" s="97" t="s">
        <v>5739</v>
      </c>
      <c r="R489" s="93">
        <v>984486.34963200008</v>
      </c>
      <c r="T489" s="19" t="s">
        <v>6482</v>
      </c>
      <c r="U489" s="19">
        <v>-3240</v>
      </c>
      <c r="V489" s="115">
        <v>1851.788857</v>
      </c>
      <c r="W489" s="115">
        <f t="shared" si="92"/>
        <v>-5999795.8966800002</v>
      </c>
      <c r="X489" s="264" t="s">
        <v>6485</v>
      </c>
      <c r="Z489" t="s">
        <v>25</v>
      </c>
      <c r="AA489" t="s">
        <v>25</v>
      </c>
    </row>
    <row r="490" spans="17:40">
      <c r="Q490" s="97" t="s">
        <v>5751</v>
      </c>
      <c r="R490" s="93">
        <v>2143469.938015</v>
      </c>
      <c r="T490" s="19" t="s">
        <v>6486</v>
      </c>
      <c r="U490" s="19">
        <v>330</v>
      </c>
      <c r="V490" s="115">
        <v>1799.34311</v>
      </c>
      <c r="W490" s="115">
        <f t="shared" si="92"/>
        <v>593783.22629999998</v>
      </c>
      <c r="X490" s="264" t="s">
        <v>5114</v>
      </c>
      <c r="AN490" t="s">
        <v>25</v>
      </c>
    </row>
    <row r="491" spans="17:40">
      <c r="Q491" s="97" t="s">
        <v>5753</v>
      </c>
      <c r="R491" s="93">
        <v>3085460.5177150001</v>
      </c>
      <c r="T491" s="19" t="s">
        <v>6490</v>
      </c>
      <c r="U491" s="19">
        <v>266</v>
      </c>
      <c r="V491" s="115">
        <v>1764.9246700000001</v>
      </c>
      <c r="W491" s="115">
        <f t="shared" si="92"/>
        <v>469469.96222000004</v>
      </c>
      <c r="X491" s="264" t="s">
        <v>5114</v>
      </c>
      <c r="Y491" t="s">
        <v>25</v>
      </c>
      <c r="AA491" t="s">
        <v>25</v>
      </c>
      <c r="AN491" t="s">
        <v>25</v>
      </c>
    </row>
    <row r="492" spans="17:40">
      <c r="Q492" s="97" t="s">
        <v>5755</v>
      </c>
      <c r="R492" s="93">
        <v>8261456.790906</v>
      </c>
      <c r="T492" s="187" t="s">
        <v>6510</v>
      </c>
      <c r="U492" s="187">
        <v>-10637</v>
      </c>
      <c r="V492" s="186">
        <v>1739.5916549999999</v>
      </c>
      <c r="W492" s="186">
        <f t="shared" si="92"/>
        <v>-18504036.434234999</v>
      </c>
      <c r="X492" s="263" t="s">
        <v>6513</v>
      </c>
      <c r="Y492" t="s">
        <v>25</v>
      </c>
      <c r="AA492" t="s">
        <v>25</v>
      </c>
      <c r="AB492" t="s">
        <v>25</v>
      </c>
    </row>
    <row r="493" spans="17:40">
      <c r="Q493" s="97" t="s">
        <v>5760</v>
      </c>
      <c r="R493" s="93">
        <v>6572373.7593120001</v>
      </c>
      <c r="T493" s="19" t="s">
        <v>6510</v>
      </c>
      <c r="U493" s="19">
        <v>10637</v>
      </c>
      <c r="V493" s="115">
        <v>1739.5916549999999</v>
      </c>
      <c r="W493" s="115">
        <f t="shared" si="92"/>
        <v>18504036.434234999</v>
      </c>
      <c r="X493" s="264" t="s">
        <v>6514</v>
      </c>
    </row>
    <row r="494" spans="17:40" ht="30">
      <c r="Q494" s="97" t="s">
        <v>5762</v>
      </c>
      <c r="R494" s="93">
        <v>2893243.5730909999</v>
      </c>
      <c r="T494" s="19" t="s">
        <v>6568</v>
      </c>
      <c r="U494" s="19">
        <v>39478</v>
      </c>
      <c r="V494" s="115">
        <v>1873.903047</v>
      </c>
      <c r="W494" s="115">
        <f t="shared" si="92"/>
        <v>73977944.489465997</v>
      </c>
      <c r="X494" s="264" t="s">
        <v>6573</v>
      </c>
    </row>
    <row r="495" spans="17:40">
      <c r="Q495" s="97" t="s">
        <v>5768</v>
      </c>
      <c r="R495" s="93">
        <v>94992058.939007998</v>
      </c>
      <c r="T495" s="19"/>
      <c r="U495" s="19"/>
      <c r="V495" s="115"/>
      <c r="W495" s="115"/>
      <c r="X495" s="264"/>
      <c r="Y495" t="s">
        <v>25</v>
      </c>
      <c r="AA495" t="s">
        <v>25</v>
      </c>
    </row>
    <row r="496" spans="17:40">
      <c r="Q496" s="97" t="s">
        <v>5775</v>
      </c>
      <c r="R496" s="93">
        <v>275021.925965</v>
      </c>
      <c r="T496" s="19"/>
      <c r="U496" s="19"/>
      <c r="V496" s="115"/>
      <c r="W496" s="115"/>
      <c r="X496" s="264"/>
      <c r="Z496" t="s">
        <v>25</v>
      </c>
      <c r="AA496" t="s">
        <v>25</v>
      </c>
    </row>
    <row r="497" spans="17:28">
      <c r="Q497" s="97" t="s">
        <v>5787</v>
      </c>
      <c r="R497" s="93">
        <v>327451.9203</v>
      </c>
      <c r="T497" s="19"/>
      <c r="U497" s="19"/>
      <c r="V497" s="115"/>
      <c r="W497" s="115"/>
      <c r="X497" s="264"/>
      <c r="Y497" t="s">
        <v>25</v>
      </c>
      <c r="Z497" t="s">
        <v>25</v>
      </c>
    </row>
    <row r="498" spans="17:28">
      <c r="Q498" s="97" t="s">
        <v>5798</v>
      </c>
      <c r="R498" s="93">
        <v>260081.94096800001</v>
      </c>
      <c r="T498" s="19"/>
      <c r="U498" s="19"/>
      <c r="V498" s="115"/>
      <c r="W498" s="115">
        <f t="shared" si="92"/>
        <v>0</v>
      </c>
      <c r="X498" s="264"/>
      <c r="Y498" t="s">
        <v>25</v>
      </c>
      <c r="AA498" t="s">
        <v>25</v>
      </c>
    </row>
    <row r="499" spans="17:28">
      <c r="Q499" s="97" t="s">
        <v>5799</v>
      </c>
      <c r="R499" s="93">
        <v>2909284.5308940001</v>
      </c>
      <c r="T499" s="19"/>
      <c r="U499" s="19"/>
      <c r="V499" s="115"/>
      <c r="W499" s="115">
        <f t="shared" si="92"/>
        <v>0</v>
      </c>
      <c r="X499" s="264"/>
      <c r="Y499" t="s">
        <v>25</v>
      </c>
      <c r="AA499" t="s">
        <v>25</v>
      </c>
    </row>
    <row r="500" spans="17:28">
      <c r="Q500" s="97" t="s">
        <v>5800</v>
      </c>
      <c r="R500" s="93">
        <v>37723205.094084002</v>
      </c>
      <c r="T500" s="97"/>
      <c r="U500" s="166"/>
      <c r="V500" s="111"/>
      <c r="W500" s="115">
        <f t="shared" si="92"/>
        <v>0</v>
      </c>
      <c r="X500" s="97"/>
    </row>
    <row r="501" spans="17:28">
      <c r="Q501" s="97" t="s">
        <v>5801</v>
      </c>
      <c r="R501" s="93">
        <v>1500094.75168</v>
      </c>
      <c r="T501" s="166"/>
      <c r="U501" s="166">
        <f>SUM(U179:U500)</f>
        <v>4349237</v>
      </c>
      <c r="V501" s="97"/>
      <c r="W501" s="97"/>
      <c r="X501" s="97"/>
      <c r="AB501" t="s">
        <v>25</v>
      </c>
    </row>
    <row r="502" spans="17:28">
      <c r="Q502" s="97" t="s">
        <v>5803</v>
      </c>
      <c r="R502" s="93">
        <v>7230628.4378079996</v>
      </c>
      <c r="T502" s="97"/>
      <c r="U502" s="97" t="s">
        <v>6</v>
      </c>
      <c r="V502" s="97"/>
      <c r="W502" s="97"/>
      <c r="X502" s="97"/>
    </row>
    <row r="503" spans="17:28">
      <c r="Q503" s="97" t="s">
        <v>5804</v>
      </c>
      <c r="R503" s="93">
        <v>29767389.390390001</v>
      </c>
      <c r="T503" s="197" t="s">
        <v>4438</v>
      </c>
      <c r="Y503" t="s">
        <v>25</v>
      </c>
    </row>
    <row r="504" spans="17:28">
      <c r="Q504" s="97" t="s">
        <v>5806</v>
      </c>
      <c r="R504" s="93">
        <v>151560.25597</v>
      </c>
      <c r="T504" s="196">
        <f>R195/U501</f>
        <v>1942.6519088290659</v>
      </c>
      <c r="X504" t="s">
        <v>25</v>
      </c>
    </row>
    <row r="505" spans="17:28">
      <c r="Q505" s="97" t="s">
        <v>5809</v>
      </c>
      <c r="R505" s="93">
        <v>481318.88078800001</v>
      </c>
      <c r="W505" s="112"/>
      <c r="X505">
        <v>26601</v>
      </c>
      <c r="Z505" t="s">
        <v>25</v>
      </c>
    </row>
    <row r="506" spans="17:28">
      <c r="Q506" s="97" t="s">
        <v>5822</v>
      </c>
      <c r="R506" s="93">
        <v>146277.56820000001</v>
      </c>
      <c r="U506" s="94" t="s">
        <v>267</v>
      </c>
      <c r="V506" t="s">
        <v>4439</v>
      </c>
      <c r="X506" t="s">
        <v>25</v>
      </c>
    </row>
    <row r="507" spans="17:28">
      <c r="Q507" s="97" t="s">
        <v>5825</v>
      </c>
      <c r="R507" s="93">
        <v>424693.40162399999</v>
      </c>
      <c r="T507" s="112"/>
      <c r="U507" s="93">
        <v>-73978994</v>
      </c>
      <c r="V507">
        <f>U507/T504</f>
        <v>-38081.44612206459</v>
      </c>
      <c r="X507" t="s">
        <v>25</v>
      </c>
    </row>
    <row r="508" spans="17:28">
      <c r="Q508" s="97" t="s">
        <v>5827</v>
      </c>
      <c r="R508" s="93">
        <v>558320.40202399995</v>
      </c>
      <c r="T508" t="s">
        <v>25</v>
      </c>
      <c r="X508" t="s">
        <v>25</v>
      </c>
    </row>
    <row r="509" spans="17:28">
      <c r="Q509" s="97" t="s">
        <v>5851</v>
      </c>
      <c r="R509" s="93">
        <v>207642.22201140001</v>
      </c>
      <c r="T509" t="s">
        <v>25</v>
      </c>
      <c r="U509" s="94" t="s">
        <v>25</v>
      </c>
      <c r="V509" s="22"/>
      <c r="W509" s="214"/>
      <c r="X509" s="273" t="s">
        <v>25</v>
      </c>
    </row>
    <row r="510" spans="17:28">
      <c r="Q510" s="97" t="s">
        <v>5851</v>
      </c>
      <c r="R510" s="93">
        <v>33832510.64875</v>
      </c>
      <c r="V510" t="s">
        <v>25</v>
      </c>
      <c r="X510" t="s">
        <v>25</v>
      </c>
    </row>
    <row r="511" spans="17:28">
      <c r="Q511" s="97" t="s">
        <v>5866</v>
      </c>
      <c r="R511" s="93">
        <v>637977.33504399995</v>
      </c>
      <c r="W511" s="112"/>
      <c r="X511" t="s">
        <v>25</v>
      </c>
    </row>
    <row r="512" spans="17:28" ht="60">
      <c r="Q512" s="97" t="s">
        <v>5867</v>
      </c>
      <c r="R512" s="93">
        <v>466552.25632400002</v>
      </c>
      <c r="T512" s="22" t="s">
        <v>4424</v>
      </c>
      <c r="V512" s="214"/>
    </row>
    <row r="513" spans="16:24" ht="45">
      <c r="Q513" s="97" t="s">
        <v>5868</v>
      </c>
      <c r="R513" s="93">
        <v>149316.98805000001</v>
      </c>
      <c r="T513" s="22" t="s">
        <v>4425</v>
      </c>
      <c r="W513" s="273"/>
    </row>
    <row r="514" spans="16:24">
      <c r="P514" t="s">
        <v>25</v>
      </c>
      <c r="Q514" s="97" t="s">
        <v>5868</v>
      </c>
      <c r="R514" s="93">
        <v>189134.85153000001</v>
      </c>
    </row>
    <row r="515" spans="16:24">
      <c r="Q515" s="97" t="s">
        <v>5873</v>
      </c>
      <c r="R515" s="93">
        <v>564888.82799599995</v>
      </c>
    </row>
    <row r="516" spans="16:24">
      <c r="Q516" s="97" t="s">
        <v>5883</v>
      </c>
      <c r="R516" s="93">
        <v>8762299.2047910001</v>
      </c>
      <c r="T516" s="97" t="s">
        <v>4440</v>
      </c>
      <c r="U516" s="97" t="s">
        <v>4419</v>
      </c>
      <c r="V516" s="97" t="s">
        <v>938</v>
      </c>
      <c r="W516" s="72" t="s">
        <v>5553</v>
      </c>
    </row>
    <row r="517" spans="16:24">
      <c r="Q517" s="97" t="s">
        <v>5883</v>
      </c>
      <c r="R517" s="93">
        <v>-341847876.93843603</v>
      </c>
      <c r="T517" s="93">
        <f>S242+R310+R531</f>
        <v>2470990552.2846694</v>
      </c>
      <c r="U517" s="93">
        <f>R195</f>
        <v>8449053560</v>
      </c>
      <c r="V517" s="93">
        <f>U517-T517</f>
        <v>5978063007.7153301</v>
      </c>
    </row>
    <row r="518" spans="16:24">
      <c r="Q518" s="97" t="s">
        <v>5918</v>
      </c>
      <c r="R518" s="93">
        <v>259993.58394100002</v>
      </c>
      <c r="W518" s="94" t="s">
        <v>25</v>
      </c>
    </row>
    <row r="519" spans="16:24">
      <c r="Q519" s="97" t="s">
        <v>5922</v>
      </c>
      <c r="R519" s="93">
        <v>269955.31205999997</v>
      </c>
    </row>
    <row r="520" spans="16:24">
      <c r="Q520" s="97" t="s">
        <v>6470</v>
      </c>
      <c r="R520" s="93">
        <v>560534.38387200003</v>
      </c>
      <c r="T520" s="115"/>
      <c r="V520" s="112">
        <f>(444000000+2500000)*2/3</f>
        <v>297666666.66666669</v>
      </c>
    </row>
    <row r="521" spans="16:24">
      <c r="Q521" s="97" t="s">
        <v>6479</v>
      </c>
      <c r="R521" s="93">
        <v>581484.96802499995</v>
      </c>
    </row>
    <row r="522" spans="16:24">
      <c r="Q522" s="97" t="s">
        <v>6482</v>
      </c>
      <c r="R522" s="93">
        <v>2136964.3409779998</v>
      </c>
      <c r="T522" s="112">
        <f>W325+W326+W328+W329+W331+W332</f>
        <v>-301699041.74755996</v>
      </c>
    </row>
    <row r="523" spans="16:24">
      <c r="Q523" s="97" t="s">
        <v>6486</v>
      </c>
      <c r="R523" s="93">
        <v>593783.22629999998</v>
      </c>
      <c r="T523" t="s">
        <v>25</v>
      </c>
    </row>
    <row r="524" spans="16:24">
      <c r="Q524" s="97" t="s">
        <v>6490</v>
      </c>
      <c r="R524" s="93">
        <v>469469.96222000004</v>
      </c>
      <c r="T524" s="112">
        <f>V520+T522</f>
        <v>-4032375.0808932781</v>
      </c>
    </row>
    <row r="525" spans="16:24">
      <c r="Q525" s="97" t="s">
        <v>6568</v>
      </c>
      <c r="R525" s="93">
        <v>73977944.489465997</v>
      </c>
      <c r="T525" t="s">
        <v>25</v>
      </c>
    </row>
    <row r="526" spans="16:24">
      <c r="Q526" s="97"/>
      <c r="R526" s="93"/>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2208547989.8453302</v>
      </c>
      <c r="T531" s="97" t="s">
        <v>452</v>
      </c>
      <c r="U531" s="97">
        <v>4217700</v>
      </c>
      <c r="V531" s="35">
        <f>U531*80</f>
        <v>337416000</v>
      </c>
      <c r="W531" s="94" t="s">
        <v>25</v>
      </c>
    </row>
    <row r="532" spans="17:24">
      <c r="R532" s="97" t="s">
        <v>6</v>
      </c>
      <c r="T532" s="97" t="s">
        <v>5886</v>
      </c>
      <c r="U532" s="97">
        <v>2527652</v>
      </c>
      <c r="V532" s="49">
        <f>U532*80-50000000</f>
        <v>152212160</v>
      </c>
      <c r="X532" t="s">
        <v>25</v>
      </c>
    </row>
    <row r="533" spans="17:24">
      <c r="T533" s="97" t="s">
        <v>5863</v>
      </c>
      <c r="U533" s="97">
        <v>47381</v>
      </c>
      <c r="V533" s="35">
        <f t="shared" ref="V533" si="113">U533*80</f>
        <v>3790480</v>
      </c>
    </row>
    <row r="534" spans="17:24">
      <c r="Q534" t="s">
        <v>25</v>
      </c>
      <c r="T534" s="97" t="s">
        <v>1071</v>
      </c>
      <c r="U534" s="97">
        <v>226303</v>
      </c>
      <c r="V534" s="186">
        <f>U534*80</f>
        <v>18104240</v>
      </c>
    </row>
    <row r="535" spans="17:24">
      <c r="T535" s="97" t="s">
        <v>5862</v>
      </c>
      <c r="U535" s="97">
        <v>8020</v>
      </c>
      <c r="V535" s="35">
        <f>U535*80</f>
        <v>641600</v>
      </c>
    </row>
    <row r="536" spans="17:24">
      <c r="Q536" t="s">
        <v>25</v>
      </c>
      <c r="R536" t="s">
        <v>25</v>
      </c>
      <c r="T536" s="97" t="s">
        <v>5858</v>
      </c>
      <c r="U536" s="97">
        <v>55215</v>
      </c>
      <c r="V536" s="186">
        <f>U536*80</f>
        <v>4417200</v>
      </c>
    </row>
    <row r="537" spans="17:24">
      <c r="R537" t="s">
        <v>25</v>
      </c>
      <c r="T537" s="97" t="s">
        <v>5859</v>
      </c>
      <c r="U537" s="97">
        <v>26770</v>
      </c>
      <c r="V537" s="49">
        <f>U537*80</f>
        <v>2141600</v>
      </c>
    </row>
    <row r="538" spans="17:24">
      <c r="Q538" s="112"/>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4 S142 S146"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5" sqref="R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1.46</v>
      </c>
      <c r="J1" s="20">
        <f t="shared" ref="J1:J30" si="2">I1/H1</f>
        <v>1.1768892617093345</v>
      </c>
      <c r="K1" s="97">
        <f t="shared" ref="K1:K27" si="3">(1/J1-1.0256)*100</f>
        <v>-17.590238397486736</v>
      </c>
      <c r="L1" s="20"/>
      <c r="M1" s="20"/>
      <c r="N1" s="20">
        <v>1</v>
      </c>
      <c r="P1" s="94"/>
      <c r="Q1" s="67" t="s">
        <v>5917</v>
      </c>
      <c r="R1" s="317">
        <v>2000</v>
      </c>
      <c r="S1" s="94" t="s">
        <v>5864</v>
      </c>
      <c r="T1" s="94" t="s">
        <v>5865</v>
      </c>
      <c r="U1" s="94"/>
      <c r="V1" s="94"/>
      <c r="W1" s="94"/>
      <c r="X1" s="5" t="s">
        <v>6495</v>
      </c>
      <c r="Y1" s="5" t="s">
        <v>6496</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1.46</v>
      </c>
      <c r="J2" s="20">
        <f t="shared" si="2"/>
        <v>1.1110225710570314</v>
      </c>
      <c r="K2" s="97">
        <f t="shared" si="3"/>
        <v>-12.552827684086033</v>
      </c>
      <c r="L2" s="20" t="s">
        <v>25</v>
      </c>
      <c r="M2" s="20"/>
      <c r="N2" s="20">
        <f>H2/H1</f>
        <v>1.0592847457542085</v>
      </c>
      <c r="P2" s="94"/>
      <c r="Q2" s="97" t="s">
        <v>4219</v>
      </c>
      <c r="R2" s="284">
        <v>1089</v>
      </c>
      <c r="S2" s="94">
        <v>80</v>
      </c>
      <c r="T2" s="112">
        <v>1099</v>
      </c>
      <c r="U2" s="94">
        <f>S2/T2</f>
        <v>7.2793448589626927E-2</v>
      </c>
      <c r="V2" s="94"/>
      <c r="W2" s="94"/>
      <c r="X2" s="5" t="s">
        <v>744</v>
      </c>
      <c r="Y2" s="5" t="s">
        <v>6497</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1.46</v>
      </c>
      <c r="J3" s="20">
        <f t="shared" si="2"/>
        <v>1.100966932937024</v>
      </c>
      <c r="K3" s="97">
        <f t="shared" si="3"/>
        <v>-11.730750720703021</v>
      </c>
      <c r="L3" s="20"/>
      <c r="M3" s="20"/>
      <c r="N3" s="20">
        <f>H3/H2</f>
        <v>1.0091334606146456</v>
      </c>
      <c r="P3" s="113"/>
      <c r="Q3" s="97" t="s">
        <v>5278</v>
      </c>
      <c r="R3" s="299">
        <v>1315</v>
      </c>
      <c r="S3" s="113"/>
      <c r="T3" s="113"/>
      <c r="U3" s="113"/>
      <c r="V3" s="113"/>
      <c r="W3" s="113"/>
      <c r="X3" s="5" t="s">
        <v>452</v>
      </c>
      <c r="Y3" s="5" t="s">
        <v>6498</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20.110192837465565</v>
      </c>
      <c r="J4" s="97">
        <f t="shared" si="2"/>
        <v>1.1357047413318839</v>
      </c>
      <c r="K4" s="97">
        <f t="shared" si="3"/>
        <v>-14.508945565969722</v>
      </c>
      <c r="L4" s="97"/>
      <c r="M4" s="97"/>
      <c r="N4" s="282">
        <v>1</v>
      </c>
      <c r="P4" s="113"/>
      <c r="Q4" s="97" t="s">
        <v>4357</v>
      </c>
      <c r="R4" s="298">
        <v>15000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20.110192837465565</v>
      </c>
      <c r="J5" s="97">
        <f t="shared" si="2"/>
        <v>1.1188933224634845</v>
      </c>
      <c r="K5" s="97">
        <f t="shared" si="3"/>
        <v>-13.185974798179622</v>
      </c>
      <c r="L5" s="97"/>
      <c r="M5" s="97"/>
      <c r="N5" s="282">
        <f>H5/H4</f>
        <v>1.015025041736227</v>
      </c>
      <c r="P5" s="113"/>
      <c r="Q5" s="97" t="s">
        <v>4361</v>
      </c>
      <c r="R5" s="283">
        <v>21900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20.110192837465565</v>
      </c>
      <c r="J6" s="97">
        <f t="shared" si="2"/>
        <v>1.1095536453143735</v>
      </c>
      <c r="K6" s="97">
        <f t="shared" si="3"/>
        <v>-12.433668188736691</v>
      </c>
      <c r="L6" s="97"/>
      <c r="M6" s="97"/>
      <c r="N6" s="282">
        <f>H6/H5</f>
        <v>1.0084175084175084</v>
      </c>
      <c r="P6" s="113"/>
      <c r="Q6" s="67" t="s">
        <v>5879</v>
      </c>
      <c r="R6" s="303">
        <v>440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20.110192837465565</v>
      </c>
      <c r="J7" s="97">
        <f t="shared" si="2"/>
        <v>1.1058177744547293</v>
      </c>
      <c r="K7" s="97">
        <f t="shared" si="3"/>
        <v>-12.129187338022973</v>
      </c>
      <c r="L7" s="36"/>
      <c r="M7" s="97"/>
      <c r="N7" s="282">
        <f>H7/H6</f>
        <v>1.0033783783783783</v>
      </c>
      <c r="O7" s="94"/>
      <c r="P7" s="113"/>
      <c r="Q7" s="67" t="s">
        <v>6491</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20.110192837465565</v>
      </c>
      <c r="J8" s="97">
        <f t="shared" si="2"/>
        <v>1.1219936007267304</v>
      </c>
      <c r="K8" s="97">
        <f t="shared" si="3"/>
        <v>-13.432931953240512</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13.774104683195592</v>
      </c>
      <c r="J9" s="20">
        <f t="shared" si="2"/>
        <v>0.98506832419522228</v>
      </c>
      <c r="K9" s="20">
        <f t="shared" si="3"/>
        <v>-1.0441989699570886</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13.774104683195592</v>
      </c>
      <c r="J10" s="20">
        <f t="shared" si="2"/>
        <v>1.1980617565295397</v>
      </c>
      <c r="K10" s="20">
        <f t="shared" si="3"/>
        <v>-19.091848667239908</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13.774104683195592</v>
      </c>
      <c r="J11" s="20">
        <f t="shared" si="2"/>
        <v>1.1873511132404413</v>
      </c>
      <c r="K11" s="20">
        <f t="shared" si="3"/>
        <v>-18.338914185639233</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13.774104683195592</v>
      </c>
      <c r="J12" s="20">
        <f t="shared" si="2"/>
        <v>1.1759142811514351</v>
      </c>
      <c r="K12" s="20">
        <f t="shared" si="3"/>
        <v>-17.51978779840848</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13.774104683195592</v>
      </c>
      <c r="J13" s="20">
        <f t="shared" si="2"/>
        <v>1.1606782179098507</v>
      </c>
      <c r="K13" s="20">
        <f t="shared" si="3"/>
        <v>-16.403476635514025</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13.774104683195592</v>
      </c>
      <c r="J14" s="20">
        <f t="shared" si="2"/>
        <v>1.1701722130452483</v>
      </c>
      <c r="K14" s="20">
        <f t="shared" si="3"/>
        <v>-17.102493074792246</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13.774104683195592</v>
      </c>
      <c r="J15" s="20">
        <f t="shared" si="2"/>
        <v>1.1411011475077077</v>
      </c>
      <c r="K15" s="20">
        <f t="shared" si="3"/>
        <v>-14.925349716446124</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13.774104683195592</v>
      </c>
      <c r="J16" s="20">
        <f t="shared" si="2"/>
        <v>1.1189607248019584</v>
      </c>
      <c r="K16" s="20">
        <f t="shared" si="3"/>
        <v>-13.191358381502894</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13.774104683195592</v>
      </c>
      <c r="J17" s="20">
        <f t="shared" si="2"/>
        <v>1.0980920569688866</v>
      </c>
      <c r="K17" s="20">
        <f t="shared" si="3"/>
        <v>-11.492953876349365</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13.774104683195592</v>
      </c>
      <c r="J18" s="20">
        <f t="shared" si="2"/>
        <v>1.089760626233452</v>
      </c>
      <c r="K18" s="20">
        <f t="shared" si="3"/>
        <v>-10.79672869735553</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13.774104683195592</v>
      </c>
      <c r="J19" s="20">
        <f t="shared" si="2"/>
        <v>1.0701278152864075</v>
      </c>
      <c r="K19" s="20">
        <f t="shared" si="3"/>
        <v>-9.1132186234817887</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13.774104683195592</v>
      </c>
      <c r="J20" s="20">
        <f t="shared" si="2"/>
        <v>1.0032087535413285</v>
      </c>
      <c r="K20" s="20">
        <f t="shared" si="3"/>
        <v>-2.8798490374014052</v>
      </c>
      <c r="L20" s="20"/>
      <c r="M20" s="20"/>
      <c r="N20" s="20">
        <f t="shared" si="5"/>
        <v>1.0667050217702494</v>
      </c>
    </row>
    <row r="21" spans="1:24" ht="21">
      <c r="A21" s="300" t="s">
        <v>6470</v>
      </c>
      <c r="B21" s="60" t="s">
        <v>4357</v>
      </c>
      <c r="C21" s="49">
        <v>14499</v>
      </c>
      <c r="D21" s="60">
        <v>200</v>
      </c>
      <c r="E21" s="276" t="s">
        <v>4219</v>
      </c>
      <c r="F21" s="278">
        <v>1019</v>
      </c>
      <c r="G21" s="276">
        <f t="shared" si="0"/>
        <v>2810.0762499755424</v>
      </c>
      <c r="H21" s="277">
        <f t="shared" si="1"/>
        <v>14.22865554465162</v>
      </c>
      <c r="I21" s="281">
        <f t="shared" si="4"/>
        <v>13.774104683195592</v>
      </c>
      <c r="J21" s="20">
        <f t="shared" si="2"/>
        <v>0.96805384317375731</v>
      </c>
      <c r="K21" s="321">
        <f t="shared" si="3"/>
        <v>0.74003925417076566</v>
      </c>
      <c r="L21" s="20"/>
      <c r="M21" s="20"/>
      <c r="N21" s="20">
        <f>H21/H20</f>
        <v>1.0363150362094695</v>
      </c>
    </row>
    <row r="22" spans="1:24" ht="21">
      <c r="A22" s="276" t="s">
        <v>6546</v>
      </c>
      <c r="B22" s="276" t="s">
        <v>4219</v>
      </c>
      <c r="C22" s="278">
        <v>1041</v>
      </c>
      <c r="D22" s="276">
        <v>1</v>
      </c>
      <c r="E22" s="297" t="s">
        <v>5278</v>
      </c>
      <c r="F22" s="318">
        <v>1230.2</v>
      </c>
      <c r="G22" s="297">
        <f t="shared" si="0"/>
        <v>0.83560157467645824</v>
      </c>
      <c r="H22" s="297">
        <f t="shared" si="1"/>
        <v>0.84620386928954638</v>
      </c>
      <c r="I22" s="297">
        <f>$R$2/$R$3</f>
        <v>0.82813688212927761</v>
      </c>
      <c r="J22" s="97">
        <f>I22/H22</f>
        <v>0.97864936829532889</v>
      </c>
      <c r="K22" s="320">
        <f t="shared" si="3"/>
        <v>-0.37835738147351528</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11.406844106463879</v>
      </c>
      <c r="J23" s="97">
        <f t="shared" si="2"/>
        <v>1.1132123380228283</v>
      </c>
      <c r="K23" s="97">
        <f t="shared" si="3"/>
        <v>-12.729878122614446</v>
      </c>
      <c r="L23" s="97"/>
      <c r="M23" s="97"/>
      <c r="N23" s="97">
        <v>1</v>
      </c>
      <c r="P23">
        <f>I22/P22</f>
        <v>1.039199005784794</v>
      </c>
      <c r="Q23" s="94">
        <f>I22/P22</f>
        <v>1.039199005784794</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11.406844106463879</v>
      </c>
      <c r="J24" s="97">
        <f t="shared" si="2"/>
        <v>1.102502874637584</v>
      </c>
      <c r="K24" s="320">
        <f t="shared" si="3"/>
        <v>-11.857288650723829</v>
      </c>
      <c r="L24" s="97" t="s">
        <v>25</v>
      </c>
      <c r="M24" s="97" t="s">
        <v>25</v>
      </c>
      <c r="N24" s="97">
        <f>H24/H23</f>
        <v>1.0097137736613746</v>
      </c>
      <c r="P24" s="112">
        <f>R3-R2</f>
        <v>226</v>
      </c>
    </row>
    <row r="25" spans="1:24">
      <c r="A25" s="60" t="s">
        <v>6456</v>
      </c>
      <c r="B25" s="60" t="s">
        <v>4357</v>
      </c>
      <c r="C25" s="49">
        <v>14500</v>
      </c>
      <c r="D25" s="60">
        <v>32</v>
      </c>
      <c r="E25" s="150" t="s">
        <v>5917</v>
      </c>
      <c r="F25" s="230">
        <v>1973</v>
      </c>
      <c r="G25" s="150">
        <f t="shared" si="0"/>
        <v>232.22829744562071</v>
      </c>
      <c r="H25" s="150">
        <f t="shared" si="1"/>
        <v>7.3492143943233659</v>
      </c>
      <c r="I25" s="150">
        <f>$R$4/$R$1</f>
        <v>7.5</v>
      </c>
      <c r="J25" s="97">
        <f t="shared" si="2"/>
        <v>1.0205172413793102</v>
      </c>
      <c r="K25" s="97">
        <f t="shared" si="3"/>
        <v>-4.570474742355124</v>
      </c>
      <c r="L25" s="97"/>
      <c r="M25" s="97"/>
      <c r="N25" s="97">
        <v>1</v>
      </c>
      <c r="X25" t="s">
        <v>25</v>
      </c>
    </row>
    <row r="26" spans="1:24" ht="21">
      <c r="A26" s="60" t="s">
        <v>6470</v>
      </c>
      <c r="B26" s="60" t="s">
        <v>4357</v>
      </c>
      <c r="C26" s="49">
        <v>14503</v>
      </c>
      <c r="D26" s="60">
        <v>200</v>
      </c>
      <c r="E26" s="150" t="s">
        <v>5917</v>
      </c>
      <c r="F26" s="230">
        <v>1898</v>
      </c>
      <c r="G26" s="150">
        <f t="shared" si="0"/>
        <v>1509.0925581296149</v>
      </c>
      <c r="H26" s="150">
        <f t="shared" si="1"/>
        <v>7.6412012644889353</v>
      </c>
      <c r="I26" s="150">
        <f>$R$4/$R$1</f>
        <v>7.5</v>
      </c>
      <c r="J26" s="97">
        <f t="shared" si="2"/>
        <v>0.98152106460732269</v>
      </c>
      <c r="K26" s="320">
        <f t="shared" si="3"/>
        <v>-0.6773164734808601</v>
      </c>
      <c r="L26" s="97" t="s">
        <v>25</v>
      </c>
      <c r="M26" s="97" t="s">
        <v>25</v>
      </c>
      <c r="N26" s="97">
        <f>H26/H25</f>
        <v>1.039730351368046</v>
      </c>
      <c r="P26">
        <v>235</v>
      </c>
      <c r="R26" t="s">
        <v>25</v>
      </c>
    </row>
    <row r="27" spans="1:24">
      <c r="A27" s="276" t="s">
        <v>6461</v>
      </c>
      <c r="B27" s="276" t="s">
        <v>4219</v>
      </c>
      <c r="C27" s="278">
        <v>1038</v>
      </c>
      <c r="D27" s="276">
        <v>100000</v>
      </c>
      <c r="E27" s="150" t="s">
        <v>5917</v>
      </c>
      <c r="F27" s="150">
        <v>1955</v>
      </c>
      <c r="G27" s="150">
        <f t="shared" si="0"/>
        <v>52429.393600945587</v>
      </c>
      <c r="H27" s="150">
        <f t="shared" si="1"/>
        <v>0.53094629156010231</v>
      </c>
      <c r="I27" s="150">
        <f>$R$2/$R$1</f>
        <v>0.54449999999999998</v>
      </c>
      <c r="J27" s="97">
        <f t="shared" si="2"/>
        <v>1.0255274566473989</v>
      </c>
      <c r="K27" s="97">
        <f t="shared" si="3"/>
        <v>-5.0492026519555093</v>
      </c>
      <c r="L27" s="97"/>
      <c r="M27" s="97"/>
      <c r="N27" s="97">
        <v>1</v>
      </c>
      <c r="R27">
        <f>369/G22</f>
        <v>441.59801893967875</v>
      </c>
    </row>
    <row r="28" spans="1:24">
      <c r="A28" s="276" t="s">
        <v>6482</v>
      </c>
      <c r="B28" s="276" t="s">
        <v>4219</v>
      </c>
      <c r="C28" s="278">
        <v>948</v>
      </c>
      <c r="D28" s="276">
        <v>1</v>
      </c>
      <c r="E28" s="150" t="s">
        <v>5917</v>
      </c>
      <c r="F28" s="150">
        <v>1712</v>
      </c>
      <c r="G28" s="150">
        <f t="shared" ref="G28" si="6">C28*D28*0.99114/(F28*1.0037158)</f>
        <v>0.54680039535263103</v>
      </c>
      <c r="H28" s="150">
        <f t="shared" ref="H28" si="7">C28/F28</f>
        <v>0.55373831775700932</v>
      </c>
      <c r="I28" s="150">
        <f>$R$2/$R$1</f>
        <v>0.54449999999999998</v>
      </c>
      <c r="J28" s="97">
        <f>I28/H28</f>
        <v>0.98331645569620252</v>
      </c>
      <c r="K28" s="97">
        <f>(1/J28-1.0256)*100</f>
        <v>-0.86333925491104413</v>
      </c>
      <c r="L28" s="97"/>
      <c r="M28" s="97"/>
      <c r="N28" s="97">
        <f>H28/H27</f>
        <v>1.0429271784344443</v>
      </c>
      <c r="P28" t="s">
        <v>25</v>
      </c>
    </row>
    <row r="29" spans="1:24">
      <c r="A29" s="297" t="s">
        <v>5868</v>
      </c>
      <c r="B29" s="297" t="s">
        <v>5278</v>
      </c>
      <c r="C29" s="297">
        <v>1461.2</v>
      </c>
      <c r="D29" s="297">
        <v>8502</v>
      </c>
      <c r="E29" s="23" t="s">
        <v>5870</v>
      </c>
      <c r="F29" s="35">
        <v>410</v>
      </c>
      <c r="G29" s="23">
        <f>C29*D29*0.99114/(F29*1.00103)</f>
        <v>30000.936926516904</v>
      </c>
      <c r="H29" s="23">
        <f>C29/F29</f>
        <v>3.5639024390243903</v>
      </c>
      <c r="I29" s="23">
        <f>$R$3/$R$8</f>
        <v>5.26</v>
      </c>
      <c r="J29" s="97">
        <f>I29/H29</f>
        <v>1.4759102107856557</v>
      </c>
      <c r="K29" s="97">
        <f>(1/J29-1.0146358)*100</f>
        <v>-33.708780779003988</v>
      </c>
      <c r="L29" s="97"/>
      <c r="M29" s="97"/>
      <c r="N29" s="97">
        <v>1</v>
      </c>
      <c r="S29" t="s">
        <v>25</v>
      </c>
    </row>
    <row r="30" spans="1:24">
      <c r="A30" s="60" t="s">
        <v>5878</v>
      </c>
      <c r="B30" s="60" t="s">
        <v>4357</v>
      </c>
      <c r="C30" s="49">
        <v>15396.7</v>
      </c>
      <c r="D30" s="60">
        <v>835.71</v>
      </c>
      <c r="E30" s="302" t="s">
        <v>5879</v>
      </c>
      <c r="F30" s="319">
        <v>490</v>
      </c>
      <c r="G30" s="302">
        <f>C30*D30*0.99114/(F30*1.00103)</f>
        <v>26000.103518373991</v>
      </c>
      <c r="H30" s="302">
        <f t="shared" si="1"/>
        <v>31.42183673469388</v>
      </c>
      <c r="I30" s="302">
        <f>$R$4/$R$6</f>
        <v>34.090909090909093</v>
      </c>
      <c r="J30" s="97">
        <f t="shared" si="2"/>
        <v>1.0849432316370038</v>
      </c>
      <c r="K30" s="97">
        <f>(1/J30-1.0146358)*100</f>
        <v>-9.2928589115646272</v>
      </c>
      <c r="L30" s="97"/>
      <c r="M30" s="97"/>
      <c r="N30" s="97">
        <v>1</v>
      </c>
      <c r="S30" t="s">
        <v>25</v>
      </c>
    </row>
    <row r="31" spans="1:24">
      <c r="A31" s="94"/>
      <c r="B31" s="113"/>
      <c r="C31" s="113"/>
      <c r="D31" s="94"/>
      <c r="E31" s="94"/>
      <c r="F31" s="94"/>
      <c r="G31" s="94"/>
      <c r="H31" s="94"/>
      <c r="I31" s="94"/>
      <c r="J31" s="94"/>
      <c r="K31" s="94"/>
      <c r="L31" s="94"/>
      <c r="M31" s="94"/>
      <c r="N31" s="94"/>
      <c r="R31" t="s">
        <v>25</v>
      </c>
      <c r="W31" t="s">
        <v>25</v>
      </c>
    </row>
    <row r="32" spans="1:24">
      <c r="A32" s="276" t="s">
        <v>6470</v>
      </c>
      <c r="B32" s="276" t="s">
        <v>4219</v>
      </c>
      <c r="C32" s="278">
        <v>1019</v>
      </c>
      <c r="D32" s="276">
        <v>10000</v>
      </c>
      <c r="E32" s="302" t="s">
        <v>5879</v>
      </c>
      <c r="F32" s="319">
        <v>390</v>
      </c>
      <c r="G32" s="302">
        <v>10000</v>
      </c>
      <c r="H32" s="302"/>
      <c r="I32" s="319">
        <f>C32*D32*0.99114-F32*G32*1.00125</f>
        <v>6194841.5999999996</v>
      </c>
      <c r="J32" s="97">
        <f>(G32*$R$6*0.99875+I32)/(R2*1.0037158)</f>
        <v>9687.9149605574221</v>
      </c>
      <c r="K32" s="97">
        <f>J32-D32</f>
        <v>-312.08503944257791</v>
      </c>
      <c r="L32" s="97"/>
      <c r="M32" s="97"/>
      <c r="N32" s="97"/>
      <c r="R32" t="s">
        <v>25</v>
      </c>
    </row>
    <row r="33" spans="1:20">
      <c r="A33" s="276" t="s">
        <v>6490</v>
      </c>
      <c r="B33" s="276" t="s">
        <v>4219</v>
      </c>
      <c r="C33" s="278">
        <v>990</v>
      </c>
      <c r="D33" s="276">
        <v>4000</v>
      </c>
      <c r="E33" s="302" t="s">
        <v>5879</v>
      </c>
      <c r="F33" s="319">
        <v>360</v>
      </c>
      <c r="G33" s="302">
        <v>4000</v>
      </c>
      <c r="H33" s="302"/>
      <c r="I33" s="319">
        <f>C33*D33*0.99114-F33*G33*1.00125</f>
        <v>2483114.4</v>
      </c>
      <c r="J33" s="97">
        <f>(G33*$R$6*0.99875+I33)/(R2*1.0037158)</f>
        <v>3879.9029830337527</v>
      </c>
      <c r="K33" s="97">
        <f>J33-D33</f>
        <v>-120.09701696624734</v>
      </c>
      <c r="L33" s="97"/>
      <c r="M33" s="97"/>
      <c r="N33" s="97"/>
      <c r="T33" t="s">
        <v>25</v>
      </c>
    </row>
    <row r="34" spans="1:20">
      <c r="A34" s="276" t="s">
        <v>6494</v>
      </c>
      <c r="B34" s="276" t="s">
        <v>4219</v>
      </c>
      <c r="C34" s="278">
        <v>930</v>
      </c>
      <c r="D34" s="276">
        <v>99000</v>
      </c>
      <c r="E34" s="302" t="s">
        <v>5879</v>
      </c>
      <c r="F34" s="319">
        <v>300</v>
      </c>
      <c r="G34" s="302">
        <v>99000</v>
      </c>
      <c r="H34" s="302"/>
      <c r="I34" s="319">
        <f>C34*D34*0.99114-F34*G34*1.00125</f>
        <v>61517134.799999997</v>
      </c>
      <c r="J34" s="97">
        <f>(G34*$R$6*0.99875+I34)/(R2*1.0037158)</f>
        <v>96082.540133734714</v>
      </c>
      <c r="K34" s="97">
        <f>J34-D34</f>
        <v>-2917.4598662652861</v>
      </c>
      <c r="L34" s="97"/>
      <c r="M34" s="97"/>
      <c r="N34" s="97"/>
      <c r="P34">
        <f>C32/F32</f>
        <v>2.6128205128205129</v>
      </c>
      <c r="Q34">
        <f>R2/R6</f>
        <v>2.4750000000000001</v>
      </c>
    </row>
    <row r="35" spans="1:20">
      <c r="A35" s="276" t="s">
        <v>6547</v>
      </c>
      <c r="B35" s="276" t="s">
        <v>4219</v>
      </c>
      <c r="C35" s="278"/>
      <c r="D35" s="276"/>
      <c r="E35" s="302"/>
      <c r="F35" s="319"/>
      <c r="G35" s="302"/>
      <c r="H35" s="302"/>
      <c r="I35" s="319"/>
      <c r="J35" s="97"/>
      <c r="K35" s="97"/>
      <c r="L35" s="97"/>
      <c r="M35" s="97"/>
      <c r="N35" s="97"/>
      <c r="P35" s="112">
        <f>C32-F32</f>
        <v>629</v>
      </c>
      <c r="Q35" s="112">
        <f>R2-R6</f>
        <v>649</v>
      </c>
      <c r="T35" t="s">
        <v>25</v>
      </c>
    </row>
    <row r="36" spans="1:20">
      <c r="A36" s="94"/>
      <c r="B36" s="94"/>
      <c r="C36" s="94"/>
      <c r="D36" s="94"/>
      <c r="E36" s="94"/>
      <c r="F36" s="94"/>
      <c r="G36" s="94"/>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5535</v>
      </c>
      <c r="B38" s="97"/>
      <c r="C38" s="97"/>
      <c r="D38" s="97"/>
      <c r="E38" s="97"/>
      <c r="F38" s="97"/>
      <c r="G38" s="97"/>
      <c r="H38" s="97"/>
      <c r="I38" s="97"/>
      <c r="J38" s="97"/>
      <c r="K38" s="97"/>
      <c r="L38" s="97"/>
      <c r="M38" s="97"/>
      <c r="N38" s="97"/>
      <c r="S38" t="s">
        <v>25</v>
      </c>
      <c r="T38" t="s">
        <v>25</v>
      </c>
    </row>
    <row r="39" spans="1:20">
      <c r="A39" s="274" t="s">
        <v>5762</v>
      </c>
      <c r="B39" s="274" t="s">
        <v>4361</v>
      </c>
      <c r="C39" s="274">
        <v>21532</v>
      </c>
      <c r="D39" s="274">
        <v>1859</v>
      </c>
      <c r="E39" s="276" t="s">
        <v>4219</v>
      </c>
      <c r="F39" s="276">
        <v>1187</v>
      </c>
      <c r="G39" s="276">
        <f>C39*D39*0.99114/(F39*1.0037158)</f>
        <v>33299.467209851166</v>
      </c>
      <c r="H39" s="276">
        <f>C39/F39</f>
        <v>18.139848357203032</v>
      </c>
      <c r="I39" s="276">
        <f>$R$5/$R$2</f>
        <v>20.110192837465565</v>
      </c>
      <c r="J39" s="97">
        <f>I39/H39</f>
        <v>1.1086196775994626</v>
      </c>
      <c r="K39" s="97">
        <f>(1/J39-1.0256)*100</f>
        <v>-12.357740360757541</v>
      </c>
      <c r="L39" s="97"/>
      <c r="M39" s="97"/>
      <c r="N39" s="97">
        <v>1</v>
      </c>
    </row>
    <row r="40" spans="1:20">
      <c r="A40" s="274" t="s">
        <v>5768</v>
      </c>
      <c r="B40" s="274" t="s">
        <v>4361</v>
      </c>
      <c r="C40" s="274">
        <v>22420.1</v>
      </c>
      <c r="D40" s="274">
        <v>1000</v>
      </c>
      <c r="E40" s="276" t="s">
        <v>4219</v>
      </c>
      <c r="F40" s="276">
        <v>1161</v>
      </c>
      <c r="G40" s="276">
        <f>C40*D40*0.99114/(F40*1.0037158)</f>
        <v>19069.072437793271</v>
      </c>
      <c r="H40" s="276">
        <f>C40/F40</f>
        <v>19.311024978466836</v>
      </c>
      <c r="I40" s="276">
        <f>$R$5/$R$2</f>
        <v>20.110192837465565</v>
      </c>
      <c r="J40" s="97">
        <f>I40/H40</f>
        <v>1.04138402078035</v>
      </c>
      <c r="K40" s="97">
        <f>(1/J40-1.0256)*100</f>
        <v>-6.533944285158066</v>
      </c>
      <c r="L40" s="97" t="s">
        <v>25</v>
      </c>
      <c r="M40" s="97"/>
      <c r="N40" s="97">
        <f>H40/H39</f>
        <v>1.064563749277361</v>
      </c>
      <c r="Q40" t="s">
        <v>25</v>
      </c>
    </row>
    <row r="41" spans="1:20">
      <c r="A41" s="274" t="s">
        <v>5770</v>
      </c>
      <c r="B41" s="274" t="s">
        <v>4361</v>
      </c>
      <c r="C41" s="274">
        <v>23233.1</v>
      </c>
      <c r="D41" s="274">
        <v>1000</v>
      </c>
      <c r="E41" s="276" t="s">
        <v>4219</v>
      </c>
      <c r="F41" s="276">
        <v>1152</v>
      </c>
      <c r="G41" s="276">
        <f>C41*D41*0.99114/(F41*1.0037158)</f>
        <v>19914.936480069027</v>
      </c>
      <c r="H41" s="276">
        <f>C41/F41</f>
        <v>20.167621527777776</v>
      </c>
      <c r="I41" s="276">
        <f>$R$5/$R$2</f>
        <v>20.110192837465565</v>
      </c>
      <c r="J41" s="97">
        <f>I41/H41</f>
        <v>0.9971524311762241</v>
      </c>
      <c r="K41" s="97">
        <f>(1/J41-1.0256)*100</f>
        <v>-2.2744299372146282</v>
      </c>
      <c r="L41" s="97"/>
      <c r="M41" s="97"/>
      <c r="N41" s="97">
        <f>H41/H40</f>
        <v>1.0443579017823292</v>
      </c>
      <c r="Q41" t="s">
        <v>25</v>
      </c>
    </row>
    <row r="42" spans="1:20">
      <c r="A42" s="274" t="s">
        <v>5772</v>
      </c>
      <c r="B42" s="274" t="s">
        <v>4361</v>
      </c>
      <c r="C42" s="274">
        <v>23900</v>
      </c>
      <c r="D42" s="274">
        <v>1000</v>
      </c>
      <c r="E42" s="276" t="s">
        <v>4219</v>
      </c>
      <c r="F42" s="276">
        <v>1153</v>
      </c>
      <c r="G42" s="276">
        <f>C42*D42*0.99114/(F42*1.0037158)</f>
        <v>20468.821398374203</v>
      </c>
      <c r="H42" s="276">
        <f>C42/F42</f>
        <v>20.7285342584562</v>
      </c>
      <c r="I42" s="276">
        <f>$R$5/$R$2</f>
        <v>20.110192837465565</v>
      </c>
      <c r="J42" s="97">
        <f>I42/H42</f>
        <v>0.97016955404174887</v>
      </c>
      <c r="K42" s="97">
        <f>(1/J42-1.0256)*100</f>
        <v>0.51476624410411453</v>
      </c>
      <c r="L42" s="97"/>
      <c r="M42" s="97"/>
      <c r="N42" s="97">
        <f>H42/H41</f>
        <v>1.0278125375322942</v>
      </c>
      <c r="R42" t="s">
        <v>25</v>
      </c>
    </row>
    <row r="43" spans="1:20">
      <c r="A43" s="274" t="s">
        <v>5785</v>
      </c>
      <c r="B43" s="274" t="s">
        <v>4361</v>
      </c>
      <c r="C43" s="274">
        <v>22500</v>
      </c>
      <c r="D43" s="274">
        <v>2000</v>
      </c>
      <c r="E43" s="276" t="s">
        <v>4219</v>
      </c>
      <c r="F43" s="276">
        <v>1093</v>
      </c>
      <c r="G43" s="276">
        <f>C43*D43*0.99114/(F43*1.0037158)</f>
        <v>40655.246136679802</v>
      </c>
      <c r="H43" s="276">
        <f>C43/F43</f>
        <v>20.585544373284538</v>
      </c>
      <c r="I43" s="276">
        <f>$R$5/$R$2</f>
        <v>20.110192837465565</v>
      </c>
      <c r="J43" s="97">
        <f>I43/H43</f>
        <v>0.97690847872666053</v>
      </c>
      <c r="K43" s="97">
        <f>(1/J43-1.0256)*100</f>
        <v>-0.19626565065360424</v>
      </c>
      <c r="L43" s="97"/>
      <c r="M43" s="97"/>
      <c r="N43" s="97">
        <f>H43/H42</f>
        <v>0.99310178503753443</v>
      </c>
    </row>
    <row r="44" spans="1:20">
      <c r="A44" s="94"/>
      <c r="N44" s="94"/>
    </row>
    <row r="45" spans="1:20">
      <c r="A45" s="94"/>
      <c r="N45" s="94"/>
      <c r="R45" t="s">
        <v>25</v>
      </c>
    </row>
    <row r="46" spans="1:20">
      <c r="A46" s="94"/>
    </row>
    <row r="47" spans="1:20">
      <c r="A47" s="97"/>
      <c r="B47" s="97"/>
      <c r="C47" s="97"/>
      <c r="D47" s="97"/>
      <c r="G47" t="s">
        <v>6523</v>
      </c>
    </row>
    <row r="48" spans="1:20">
      <c r="A48" s="97" t="s">
        <v>5879</v>
      </c>
      <c r="B48" s="97">
        <v>620</v>
      </c>
      <c r="C48" s="97">
        <v>164000</v>
      </c>
      <c r="D48" s="93">
        <f>C48*B48</f>
        <v>101680000</v>
      </c>
      <c r="G48">
        <v>2760</v>
      </c>
      <c r="H48">
        <v>932</v>
      </c>
    </row>
    <row r="49" spans="1:19">
      <c r="A49" s="97" t="s">
        <v>6491</v>
      </c>
      <c r="B49" s="97">
        <v>720</v>
      </c>
      <c r="C49" s="97">
        <v>0</v>
      </c>
      <c r="D49" s="93">
        <f>C49*B49</f>
        <v>0</v>
      </c>
      <c r="J49" t="s">
        <v>25</v>
      </c>
    </row>
    <row r="50" spans="1:19">
      <c r="A50" s="97" t="s">
        <v>5870</v>
      </c>
      <c r="B50" s="97">
        <v>820</v>
      </c>
      <c r="C50" s="97">
        <v>0</v>
      </c>
      <c r="D50" s="93">
        <f>C50*B50</f>
        <v>0</v>
      </c>
      <c r="R50" t="s">
        <v>25</v>
      </c>
    </row>
    <row r="51" spans="1:19">
      <c r="A51" s="97"/>
      <c r="B51" s="97"/>
      <c r="C51" s="97"/>
      <c r="D51" s="93"/>
      <c r="G51" t="s">
        <v>6524</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101680000</v>
      </c>
    </row>
    <row r="60" spans="1:19">
      <c r="A60" s="97"/>
      <c r="B60" s="97"/>
      <c r="C60" s="97"/>
      <c r="D60" s="97"/>
    </row>
    <row r="61" spans="1:19">
      <c r="A61" s="97" t="s">
        <v>6499</v>
      </c>
      <c r="B61" s="93">
        <v>94000000</v>
      </c>
      <c r="C61" s="97"/>
      <c r="D61" s="97"/>
    </row>
    <row r="62" spans="1:19">
      <c r="A62" s="97"/>
      <c r="B62" s="97"/>
      <c r="C62" s="97"/>
      <c r="D62" s="97"/>
    </row>
    <row r="63" spans="1:19">
      <c r="A63" s="97" t="s">
        <v>4595</v>
      </c>
      <c r="B63" s="93">
        <f>D59-B61</f>
        <v>7680000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1089</v>
      </c>
      <c r="H4" s="115">
        <f>C4*G4</f>
        <v>321255000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348410261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1089</v>
      </c>
      <c r="H19" s="115">
        <f>C19*G19</f>
        <v>14087304</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293643932</v>
      </c>
    </row>
    <row r="26" spans="1:8">
      <c r="D26" t="s">
        <v>5403</v>
      </c>
      <c r="E26" s="112">
        <f>'خرید خانه'!H10+'خرید خانه'!H23-'خرید خانه'!D10-'خرید خانه'!D23</f>
        <v>340354193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2021-06-21T09:10:18Z</dcterms:modified>
</cp:coreProperties>
</file>