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firstSheet="10" activeTab="16"/>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S186" i="18" l="1"/>
  <c r="W146" i="18"/>
  <c r="X146" i="18" s="1"/>
  <c r="T146" i="18"/>
  <c r="O60" i="18"/>
  <c r="Y146" i="18" l="1"/>
  <c r="T145" i="18"/>
  <c r="T73" i="18"/>
  <c r="O41" i="18"/>
  <c r="O40" i="18"/>
  <c r="K101" i="18" l="1"/>
  <c r="T144" i="18"/>
  <c r="O63" i="18"/>
  <c r="T143" i="18" l="1"/>
  <c r="T142" i="18" l="1"/>
  <c r="T72" i="18"/>
  <c r="S184" i="18"/>
  <c r="F262" i="60" l="1"/>
  <c r="J262" i="60" s="1"/>
  <c r="G262" i="60" l="1"/>
  <c r="H262" i="60" s="1"/>
  <c r="I262" i="60"/>
  <c r="F263" i="60"/>
  <c r="F18" i="60"/>
  <c r="J263" i="60" l="1"/>
  <c r="I263" i="60"/>
  <c r="G263" i="60"/>
  <c r="H263" i="60" s="1"/>
  <c r="F265" i="60"/>
  <c r="F264" i="60"/>
  <c r="T141" i="18"/>
  <c r="J264" i="60" l="1"/>
  <c r="I264" i="60"/>
  <c r="G264" i="60"/>
  <c r="H264" i="60" s="1"/>
  <c r="J265" i="60"/>
  <c r="I265" i="60"/>
  <c r="G265" i="60"/>
  <c r="H265" i="60" s="1"/>
  <c r="T71" i="18"/>
  <c r="G139" i="18"/>
  <c r="X534" i="18" l="1"/>
  <c r="T70" i="18"/>
  <c r="T140" i="18"/>
  <c r="T69" i="18" l="1"/>
  <c r="X533" i="18"/>
  <c r="I46" i="63"/>
  <c r="H46" i="63"/>
  <c r="S185" i="18"/>
  <c r="P22" i="18"/>
  <c r="N22" i="18" s="1"/>
  <c r="P21" i="18"/>
  <c r="N21" i="18" s="1"/>
  <c r="T68" i="18" l="1"/>
  <c r="X532" i="18" l="1"/>
  <c r="T139" i="18" l="1"/>
  <c r="T67" i="18" l="1"/>
  <c r="T138" i="18"/>
  <c r="T66" i="18" l="1"/>
  <c r="H18" i="60" l="1"/>
  <c r="I37" i="63" l="1"/>
  <c r="O37" i="63"/>
  <c r="X531" i="18"/>
  <c r="AB97" i="18"/>
  <c r="T99" i="18"/>
  <c r="T98" i="18"/>
  <c r="S314" i="18"/>
  <c r="U161" i="18"/>
  <c r="U163" i="18"/>
  <c r="X530" i="18"/>
  <c r="X529" i="18"/>
  <c r="T137" i="18" l="1"/>
  <c r="O65" i="18"/>
  <c r="E99" i="63" l="1"/>
  <c r="X528" i="18"/>
  <c r="T65" i="18"/>
  <c r="S568" i="18" l="1"/>
  <c r="X527" i="18"/>
  <c r="AB123" i="18"/>
  <c r="AB124" i="18"/>
  <c r="AB125" i="18"/>
  <c r="AB126" i="18"/>
  <c r="AB127" i="18"/>
  <c r="AB128" i="18"/>
  <c r="AB129" i="18"/>
  <c r="AB130" i="18"/>
  <c r="AB131" i="18"/>
  <c r="AB122"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26"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25" i="18" l="1"/>
  <c r="T62" i="18"/>
  <c r="D176" i="58" l="1"/>
  <c r="P30" i="18" l="1"/>
  <c r="X524" i="18" l="1"/>
  <c r="T136" i="18"/>
  <c r="J191" i="60" l="1"/>
  <c r="H326" i="18" l="1"/>
  <c r="X523" i="18"/>
  <c r="T135" i="18"/>
  <c r="I24" i="63"/>
  <c r="I25" i="63"/>
  <c r="G25" i="63"/>
  <c r="H25" i="63"/>
  <c r="J25" i="63" l="1"/>
  <c r="K25" i="63" s="1"/>
  <c r="X522"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I42" i="63"/>
  <c r="H42" i="63"/>
  <c r="G42" i="63"/>
  <c r="J252" i="60" l="1"/>
  <c r="J42" i="63"/>
  <c r="K42"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21"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0" i="18" l="1"/>
  <c r="T134" i="18"/>
  <c r="X519" i="18" l="1"/>
  <c r="T133" i="18"/>
  <c r="X518" i="18" l="1"/>
  <c r="T132" i="18"/>
  <c r="X517" i="18" l="1"/>
  <c r="I36" i="63" l="1"/>
  <c r="G37" i="63"/>
  <c r="H37" i="63"/>
  <c r="J37" i="63" l="1"/>
  <c r="K37" i="63" s="1"/>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31" i="18"/>
  <c r="I35" i="63"/>
  <c r="G36" i="63"/>
  <c r="H36" i="63"/>
  <c r="N37" i="63" s="1"/>
  <c r="O36" i="63"/>
  <c r="J36" i="63" l="1"/>
  <c r="K36" i="63" s="1"/>
  <c r="T130" i="18"/>
  <c r="I34" i="63"/>
  <c r="G35" i="63"/>
  <c r="H35" i="63"/>
  <c r="N36" i="63" s="1"/>
  <c r="O35" i="63"/>
  <c r="O43" i="63"/>
  <c r="J35" i="63" l="1"/>
  <c r="K35" i="63" s="1"/>
  <c r="J190" i="60"/>
  <c r="H190" i="60"/>
  <c r="F190" i="60"/>
  <c r="T129" i="18" l="1"/>
  <c r="X516" i="18"/>
  <c r="I32" i="63"/>
  <c r="O32" i="63"/>
  <c r="I33" i="63"/>
  <c r="O33" i="63"/>
  <c r="O34" i="63"/>
  <c r="G34" i="63"/>
  <c r="H34" i="63"/>
  <c r="N35" i="63" s="1"/>
  <c r="G33" i="63"/>
  <c r="H33" i="63"/>
  <c r="N34" i="63" l="1"/>
  <c r="J34" i="63"/>
  <c r="K34" i="63" s="1"/>
  <c r="J33" i="63"/>
  <c r="K33" i="63" s="1"/>
  <c r="X515" i="18"/>
  <c r="X514" i="18" l="1"/>
  <c r="T128" i="18" l="1"/>
  <c r="G32" i="63"/>
  <c r="H32" i="63"/>
  <c r="I30" i="63"/>
  <c r="I31" i="63"/>
  <c r="G31" i="63"/>
  <c r="H31" i="63"/>
  <c r="O31" i="63"/>
  <c r="N32" i="63" l="1"/>
  <c r="N33" i="63"/>
  <c r="J32" i="63"/>
  <c r="K32" i="63" s="1"/>
  <c r="J31" i="63"/>
  <c r="K31" i="63" s="1"/>
  <c r="T61" i="18"/>
  <c r="O30" i="63"/>
  <c r="G30" i="63"/>
  <c r="H30" i="63"/>
  <c r="J30" i="63" l="1"/>
  <c r="K30" i="63" s="1"/>
  <c r="N31" i="63"/>
  <c r="X513"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12" i="18" l="1"/>
  <c r="J64" i="18"/>
  <c r="P43" i="63" l="1"/>
  <c r="I10" i="63" l="1"/>
  <c r="G10" i="63"/>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8" i="60"/>
  <c r="I6" i="60"/>
  <c r="O6" i="60" s="1"/>
  <c r="J17" i="60" l="1"/>
  <c r="J18" i="60"/>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S21" i="63"/>
  <c r="U21" i="63" s="1"/>
  <c r="S22" i="63"/>
  <c r="U22" i="63" s="1"/>
  <c r="S23" i="63"/>
  <c r="S24" i="63"/>
  <c r="T24" i="63"/>
  <c r="U24" i="63"/>
  <c r="J47" i="63" l="1"/>
  <c r="K47" i="63" s="1"/>
  <c r="J46" i="63"/>
  <c r="K46" i="63" s="1"/>
  <c r="M64" i="63" l="1"/>
  <c r="M60" i="63"/>
  <c r="M61" i="63"/>
  <c r="H73" i="63" l="1"/>
  <c r="J2" i="60" l="1"/>
  <c r="X508" i="18" l="1"/>
  <c r="X503" i="18"/>
  <c r="X504" i="18"/>
  <c r="X505" i="18"/>
  <c r="X506" i="18"/>
  <c r="X507" i="18"/>
  <c r="X509" i="18"/>
  <c r="X510" i="18"/>
  <c r="X511" i="18"/>
  <c r="X535" i="18"/>
  <c r="X536" i="18"/>
  <c r="X537" i="18"/>
  <c r="P26" i="63"/>
  <c r="O26" i="63"/>
  <c r="O27" i="63"/>
  <c r="O28" i="63"/>
  <c r="X502" i="18" l="1"/>
  <c r="F19" i="60" l="1"/>
  <c r="F17" i="60"/>
  <c r="F16" i="60" l="1"/>
  <c r="M63" i="63"/>
  <c r="M62" i="63"/>
  <c r="F29" i="60"/>
  <c r="E6" i="60" l="1"/>
  <c r="L6" i="60" s="1"/>
  <c r="F3" i="60" l="1"/>
  <c r="F4" i="60"/>
  <c r="F2" i="60"/>
  <c r="H72" i="63" l="1"/>
  <c r="X501" i="18" l="1"/>
  <c r="H71" i="63"/>
  <c r="N45" i="63"/>
  <c r="M59" i="63" l="1"/>
  <c r="N55" i="18"/>
  <c r="I43" i="63"/>
  <c r="G43" i="63"/>
  <c r="H43" i="63"/>
  <c r="J43" i="63" l="1"/>
  <c r="K43" i="63" s="1"/>
  <c r="X500" i="18"/>
  <c r="X499" i="18"/>
  <c r="X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497" i="18"/>
  <c r="H69"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58" i="63"/>
  <c r="X496" i="18"/>
  <c r="X495" i="18" l="1"/>
  <c r="V538" i="18"/>
  <c r="N48" i="18"/>
  <c r="N27" i="18"/>
  <c r="G29" i="63" l="1"/>
  <c r="H29" i="63"/>
  <c r="N30" i="63" s="1"/>
  <c r="G28" i="63"/>
  <c r="H28" i="63"/>
  <c r="N29" i="63" l="1"/>
  <c r="J29" i="63"/>
  <c r="K29" i="63" s="1"/>
  <c r="J28" i="63"/>
  <c r="K28" i="63" s="1"/>
  <c r="X494" i="18"/>
  <c r="I27" i="63"/>
  <c r="G27" i="63"/>
  <c r="H27" i="63"/>
  <c r="N28" i="63" s="1"/>
  <c r="J27" i="63" l="1"/>
  <c r="K27" i="63" s="1"/>
  <c r="X493"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492" i="18"/>
  <c r="X49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9" i="18" l="1"/>
  <c r="L159" i="18"/>
  <c r="I139" i="18"/>
  <c r="P35" i="18"/>
  <c r="X490" i="18" l="1"/>
  <c r="X489"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88" i="18" l="1"/>
  <c r="X487"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86"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85" i="18"/>
  <c r="R159" i="60" l="1"/>
  <c r="S160" i="60"/>
  <c r="X484" i="18"/>
  <c r="X483" i="18"/>
  <c r="X482" i="18"/>
  <c r="S159" i="60" l="1"/>
  <c r="R158" i="60"/>
  <c r="X481"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80" i="18"/>
  <c r="R154" i="60" l="1"/>
  <c r="S155" i="60"/>
  <c r="X479" i="18"/>
  <c r="X478" i="18"/>
  <c r="S154" i="60" l="1"/>
  <c r="R153" i="60"/>
  <c r="E152" i="60"/>
  <c r="E154" i="60"/>
  <c r="E155" i="60"/>
  <c r="E156" i="60"/>
  <c r="E153" i="60"/>
  <c r="S153" i="60" l="1"/>
  <c r="R152" i="60"/>
  <c r="X477"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43" i="18"/>
  <c r="S148" i="60" l="1"/>
  <c r="R147" i="60"/>
  <c r="X476" i="18"/>
  <c r="R146" i="60" l="1"/>
  <c r="S147" i="60"/>
  <c r="X475" i="18"/>
  <c r="N30" i="18"/>
  <c r="M98" i="18" s="1"/>
  <c r="N52" i="18"/>
  <c r="S146" i="60" l="1"/>
  <c r="R145" i="60"/>
  <c r="F135" i="60"/>
  <c r="D135" i="60"/>
  <c r="D141" i="60" s="1"/>
  <c r="S145" i="60" l="1"/>
  <c r="R144" i="60"/>
  <c r="I136" i="60"/>
  <c r="R143" i="60" l="1"/>
  <c r="S144" i="60"/>
  <c r="F136" i="60"/>
  <c r="I137" i="60" s="1"/>
  <c r="F137" i="60" s="1"/>
  <c r="I138" i="60" s="1"/>
  <c r="X473" i="18"/>
  <c r="S143" i="60" l="1"/>
  <c r="R142" i="60"/>
  <c r="F138" i="60"/>
  <c r="F141" i="60" s="1"/>
  <c r="S142" i="60" l="1"/>
  <c r="R141" i="60"/>
  <c r="W164" i="18"/>
  <c r="AK489" i="18"/>
  <c r="R140" i="60" l="1"/>
  <c r="S141" i="60"/>
  <c r="X472" i="18"/>
  <c r="X471" i="18"/>
  <c r="X470" i="18"/>
  <c r="X474" i="18"/>
  <c r="X469" i="18"/>
  <c r="X468" i="18"/>
  <c r="P32" i="18"/>
  <c r="N32" i="18" s="1"/>
  <c r="N53" i="18"/>
  <c r="X388" i="18"/>
  <c r="R139" i="60" l="1"/>
  <c r="S140" i="60"/>
  <c r="T113" i="18"/>
  <c r="R138" i="60" l="1"/>
  <c r="S139" i="60"/>
  <c r="M8" i="60"/>
  <c r="D2" i="60"/>
  <c r="R137" i="60" l="1"/>
  <c r="S138" i="60"/>
  <c r="X467" i="18"/>
  <c r="R136" i="60" l="1"/>
  <c r="S137" i="60"/>
  <c r="X466" i="18"/>
  <c r="X465" i="18"/>
  <c r="AM244" i="18"/>
  <c r="AM243" i="18" s="1"/>
  <c r="AM242" i="18" s="1"/>
  <c r="R135" i="60" l="1"/>
  <c r="S136" i="60"/>
  <c r="X464" i="18"/>
  <c r="R134" i="60" l="1"/>
  <c r="S135" i="60"/>
  <c r="X463" i="18"/>
  <c r="G21" i="63"/>
  <c r="H21" i="63"/>
  <c r="N22" i="63" s="1"/>
  <c r="R133" i="60" l="1"/>
  <c r="S134" i="60"/>
  <c r="J21" i="63"/>
  <c r="K21" i="63" s="1"/>
  <c r="G52" i="63"/>
  <c r="H52" i="63"/>
  <c r="J52" i="63" s="1"/>
  <c r="K52" i="63" s="1"/>
  <c r="S133" i="60" l="1"/>
  <c r="R132" i="60"/>
  <c r="R131" i="60" l="1"/>
  <c r="S132" i="60"/>
  <c r="X460" i="18"/>
  <c r="X461" i="18"/>
  <c r="X462" i="18"/>
  <c r="R130" i="60" l="1"/>
  <c r="S131" i="60"/>
  <c r="P29" i="18"/>
  <c r="R129" i="60" l="1"/>
  <c r="S130" i="60"/>
  <c r="X459" i="18"/>
  <c r="S129" i="60" l="1"/>
  <c r="R128" i="60"/>
  <c r="G20" i="63"/>
  <c r="H20" i="63"/>
  <c r="S128" i="60" l="1"/>
  <c r="R127" i="60"/>
  <c r="J20" i="63"/>
  <c r="K20" i="63" s="1"/>
  <c r="N21" i="63"/>
  <c r="X458" i="18"/>
  <c r="R126" i="60" l="1"/>
  <c r="S127" i="60"/>
  <c r="X457"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G38" i="63"/>
  <c r="X456" i="18"/>
  <c r="R119" i="60" l="1"/>
  <c r="S120" i="60"/>
  <c r="K39" i="63"/>
  <c r="N17" i="63"/>
  <c r="G14" i="63"/>
  <c r="H14" i="63"/>
  <c r="G15" i="63"/>
  <c r="H15" i="63"/>
  <c r="X455" i="18"/>
  <c r="G12" i="63"/>
  <c r="H12" i="63"/>
  <c r="G13" i="63"/>
  <c r="H13" i="63"/>
  <c r="S119" i="60" l="1"/>
  <c r="R118" i="60"/>
  <c r="N14" i="63"/>
  <c r="J14" i="63"/>
  <c r="K14" i="63" s="1"/>
  <c r="N15" i="63"/>
  <c r="J15" i="63"/>
  <c r="K15" i="63" s="1"/>
  <c r="N16" i="63"/>
  <c r="N13" i="63"/>
  <c r="J13" i="63"/>
  <c r="K13" i="63" s="1"/>
  <c r="J12" i="63"/>
  <c r="K12" i="63" s="1"/>
  <c r="X454" i="18"/>
  <c r="R117" i="60" l="1"/>
  <c r="S118" i="60"/>
  <c r="W165" i="18"/>
  <c r="U159" i="18" s="1"/>
  <c r="X453" i="18"/>
  <c r="G11" i="63"/>
  <c r="R116" i="60" l="1"/>
  <c r="S117" i="60"/>
  <c r="P36" i="18"/>
  <c r="G4" i="67" s="1"/>
  <c r="X452" i="18"/>
  <c r="R115" i="60" l="1"/>
  <c r="S116" i="60"/>
  <c r="H4" i="67"/>
  <c r="H10" i="67" s="1"/>
  <c r="G19" i="67"/>
  <c r="H19" i="67" s="1"/>
  <c r="H23" i="67" s="1"/>
  <c r="X451" i="18"/>
  <c r="S115" i="60" l="1"/>
  <c r="R114" i="60"/>
  <c r="E26" i="67"/>
  <c r="H1" i="63"/>
  <c r="S114" i="60" l="1"/>
  <c r="R113" i="60"/>
  <c r="J1" i="63"/>
  <c r="K1" i="63" s="1"/>
  <c r="P173" i="60"/>
  <c r="R112" i="60" l="1"/>
  <c r="S113" i="60"/>
  <c r="X448" i="18"/>
  <c r="R111" i="60" l="1"/>
  <c r="S112" i="60"/>
  <c r="X447"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46" i="18"/>
  <c r="R107" i="60" l="1"/>
  <c r="S108" i="60"/>
  <c r="J56" i="63"/>
  <c r="K56" i="63" s="1"/>
  <c r="K55" i="63"/>
  <c r="R106" i="60" l="1"/>
  <c r="S107" i="60"/>
  <c r="X445" i="18"/>
  <c r="G5" i="63"/>
  <c r="H5" i="63"/>
  <c r="G6" i="63"/>
  <c r="H6" i="63"/>
  <c r="G2" i="63"/>
  <c r="H2" i="63"/>
  <c r="G3" i="63"/>
  <c r="H3" i="63"/>
  <c r="S106" i="60" l="1"/>
  <c r="R105" i="60"/>
  <c r="J6" i="63"/>
  <c r="K6" i="63" s="1"/>
  <c r="N7" i="63"/>
  <c r="J2" i="63"/>
  <c r="K2" i="63" s="1"/>
  <c r="J3" i="63"/>
  <c r="K3" i="63" s="1"/>
  <c r="J5" i="63"/>
  <c r="K5" i="63" s="1"/>
  <c r="N6" i="63"/>
  <c r="N3" i="63"/>
  <c r="X444" i="18"/>
  <c r="R104" i="60" l="1"/>
  <c r="S105" i="60"/>
  <c r="X443" i="18"/>
  <c r="R103" i="60" l="1"/>
  <c r="S104" i="60"/>
  <c r="R102" i="60" l="1"/>
  <c r="S103" i="60"/>
  <c r="O473" i="52"/>
  <c r="J473" i="52"/>
  <c r="R101" i="60" l="1"/>
  <c r="S102" i="60"/>
  <c r="X438" i="18"/>
  <c r="X439" i="18"/>
  <c r="X440" i="18"/>
  <c r="X441" i="18"/>
  <c r="X442" i="18"/>
  <c r="X449" i="18"/>
  <c r="X450" i="18"/>
  <c r="AM488" i="18"/>
  <c r="AM487" i="18" s="1"/>
  <c r="O472" i="52"/>
  <c r="J472" i="52"/>
  <c r="S101" i="60" l="1"/>
  <c r="R100" i="60"/>
  <c r="AN487" i="18"/>
  <c r="AM486" i="18"/>
  <c r="AN488" i="18"/>
  <c r="S100" i="60" l="1"/>
  <c r="R99" i="60"/>
  <c r="AM485" i="18"/>
  <c r="AN486" i="18"/>
  <c r="AM471" i="18"/>
  <c r="X437" i="18"/>
  <c r="X436" i="18"/>
  <c r="X435" i="18"/>
  <c r="X434" i="18"/>
  <c r="X433"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27" i="18"/>
  <c r="X428" i="18"/>
  <c r="X429" i="18"/>
  <c r="X430" i="18"/>
  <c r="X431" i="18"/>
  <c r="X432" i="18"/>
  <c r="R90" i="60" l="1"/>
  <c r="S91" i="60"/>
  <c r="AN476" i="18"/>
  <c r="AM475" i="18"/>
  <c r="AM462" i="18"/>
  <c r="AN462" i="18" s="1"/>
  <c r="AN463" i="18"/>
  <c r="O454" i="52"/>
  <c r="J454" i="52"/>
  <c r="S90" i="60" l="1"/>
  <c r="R89" i="60"/>
  <c r="AM474" i="18"/>
  <c r="AN475" i="18"/>
  <c r="X426" i="18"/>
  <c r="S89" i="60" l="1"/>
  <c r="R88" i="60"/>
  <c r="AM473" i="18"/>
  <c r="AN474" i="18"/>
  <c r="R87" i="60" l="1"/>
  <c r="S88" i="60"/>
  <c r="AN473" i="18"/>
  <c r="AM472" i="18"/>
  <c r="AN472" i="18" s="1"/>
  <c r="X425" i="18"/>
  <c r="X424" i="18"/>
  <c r="R86" i="60" l="1"/>
  <c r="S87" i="60"/>
  <c r="X423" i="18"/>
  <c r="X422" i="18"/>
  <c r="R85" i="60" l="1"/>
  <c r="S86" i="60"/>
  <c r="X421" i="18"/>
  <c r="S85" i="60" l="1"/>
  <c r="R84" i="60"/>
  <c r="X420" i="18"/>
  <c r="R83" i="60" l="1"/>
  <c r="S84" i="60"/>
  <c r="X419" i="18"/>
  <c r="S83" i="60" l="1"/>
  <c r="R82" i="60"/>
  <c r="X418" i="18"/>
  <c r="S82" i="60" l="1"/>
  <c r="R81" i="60"/>
  <c r="X417" i="18"/>
  <c r="S81" i="60" l="1"/>
  <c r="R80" i="60"/>
  <c r="X416"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5"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14" i="18"/>
  <c r="S78" i="60" l="1"/>
  <c r="R77" i="60"/>
  <c r="X413" i="18"/>
  <c r="S77" i="60" l="1"/>
  <c r="R76" i="60"/>
  <c r="X412" i="18"/>
  <c r="R75" i="60" l="1"/>
  <c r="S76" i="60"/>
  <c r="X411" i="18"/>
  <c r="R74" i="60" l="1"/>
  <c r="S75" i="60"/>
  <c r="X410" i="18"/>
  <c r="R73" i="60" l="1"/>
  <c r="S74" i="60"/>
  <c r="G1" i="63"/>
  <c r="R72" i="60" l="1"/>
  <c r="S73" i="60"/>
  <c r="N2" i="63"/>
  <c r="X409" i="18"/>
  <c r="R71" i="60" l="1"/>
  <c r="S72" i="60"/>
  <c r="X408" i="18"/>
  <c r="S71" i="60" l="1"/>
  <c r="R70" i="60"/>
  <c r="X407" i="18"/>
  <c r="R69" i="60" l="1"/>
  <c r="S70" i="60"/>
  <c r="X406" i="18"/>
  <c r="R68" i="60" l="1"/>
  <c r="S69" i="60"/>
  <c r="X405" i="18"/>
  <c r="S68" i="60" l="1"/>
  <c r="R67" i="60"/>
  <c r="X404" i="18"/>
  <c r="S67" i="60" l="1"/>
  <c r="R66" i="60"/>
  <c r="X403" i="18"/>
  <c r="R65" i="60" l="1"/>
  <c r="S66" i="60"/>
  <c r="X399" i="18"/>
  <c r="X402" i="18"/>
  <c r="R64" i="60" l="1"/>
  <c r="S65" i="60"/>
  <c r="X401" i="18"/>
  <c r="S64" i="60" l="1"/>
  <c r="R63" i="60"/>
  <c r="X400" i="18"/>
  <c r="S63" i="60" l="1"/>
  <c r="R62" i="60"/>
  <c r="X398" i="18"/>
  <c r="S62" i="60" l="1"/>
  <c r="R61" i="60"/>
  <c r="X397" i="18"/>
  <c r="S61" i="60" l="1"/>
  <c r="R60" i="60"/>
  <c r="X395" i="18"/>
  <c r="X394" i="18"/>
  <c r="X393" i="18"/>
  <c r="X390" i="18"/>
  <c r="X391" i="18"/>
  <c r="X392" i="18"/>
  <c r="X389" i="18"/>
  <c r="X396" i="18"/>
  <c r="R59" i="60" l="1"/>
  <c r="S60" i="60"/>
  <c r="X387" i="18"/>
  <c r="S59" i="60" l="1"/>
  <c r="R58" i="60"/>
  <c r="X386" i="18"/>
  <c r="S58" i="60" l="1"/>
  <c r="R57" i="60"/>
  <c r="X385" i="18"/>
  <c r="R56" i="60" l="1"/>
  <c r="S57" i="60"/>
  <c r="X384" i="18"/>
  <c r="R55" i="60" l="1"/>
  <c r="S56" i="60"/>
  <c r="X383" i="18"/>
  <c r="R54" i="60" l="1"/>
  <c r="S55" i="60"/>
  <c r="X382" i="18"/>
  <c r="X381"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0"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9" i="18"/>
  <c r="S51" i="60" l="1"/>
  <c r="R50" i="60"/>
  <c r="X378" i="18"/>
  <c r="S50" i="60" l="1"/>
  <c r="R49" i="60"/>
  <c r="X377" i="18"/>
  <c r="S49" i="60" l="1"/>
  <c r="R48" i="60"/>
  <c r="X376" i="18"/>
  <c r="R47" i="60" l="1"/>
  <c r="S48" i="60"/>
  <c r="X375" i="18"/>
  <c r="X374" i="18"/>
  <c r="X373" i="18"/>
  <c r="X372" i="18"/>
  <c r="S47" i="60" l="1"/>
  <c r="R46" i="60"/>
  <c r="X371" i="18"/>
  <c r="S46" i="60" l="1"/>
  <c r="R45" i="60"/>
  <c r="X370"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69" i="18"/>
  <c r="S37" i="60" l="1"/>
  <c r="R36" i="60"/>
  <c r="AM241" i="18"/>
  <c r="AN242" i="18"/>
  <c r="S36" i="60" l="1"/>
  <c r="R35" i="60"/>
  <c r="AM240" i="18"/>
  <c r="AN241" i="18"/>
  <c r="X368" i="18"/>
  <c r="R34" i="60" l="1"/>
  <c r="S35" i="60"/>
  <c r="AM239" i="18"/>
  <c r="AN240" i="18"/>
  <c r="X367"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66" i="18"/>
  <c r="X365" i="18"/>
  <c r="X364" i="18"/>
  <c r="X363" i="18"/>
  <c r="X362"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7" i="18"/>
  <c r="X358" i="18"/>
  <c r="X359" i="18"/>
  <c r="X360" i="18"/>
  <c r="X361" i="18"/>
  <c r="AM230" i="18" l="1"/>
  <c r="AN231" i="18"/>
  <c r="X356" i="18"/>
  <c r="AM229" i="18" l="1"/>
  <c r="AN230" i="18"/>
  <c r="X355" i="18"/>
  <c r="AM228" i="18" l="1"/>
  <c r="AN229" i="18"/>
  <c r="X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3" i="18"/>
  <c r="P374" i="52" l="1"/>
  <c r="AM227" i="18"/>
  <c r="AN228" i="18"/>
  <c r="P375" i="52"/>
  <c r="P376" i="52"/>
  <c r="P368" i="52"/>
  <c r="P373" i="52"/>
  <c r="P372" i="52"/>
  <c r="P371" i="52"/>
  <c r="P370" i="52"/>
  <c r="P369" i="52"/>
  <c r="X352" i="18"/>
  <c r="AM226" i="18" l="1"/>
  <c r="AN227" i="18"/>
  <c r="AM225" i="18" l="1"/>
  <c r="AN226" i="18"/>
  <c r="AM224" i="18" l="1"/>
  <c r="AN225" i="18"/>
  <c r="AM223" i="18" l="1"/>
  <c r="AN224" i="18"/>
  <c r="X351" i="18"/>
  <c r="AM222" i="18" l="1"/>
  <c r="AN223" i="18"/>
  <c r="O362" i="52"/>
  <c r="J362" i="52"/>
  <c r="AM221" i="18" l="1"/>
  <c r="AN222" i="18"/>
  <c r="AM220" i="18" l="1"/>
  <c r="AN221" i="18"/>
  <c r="AM461" i="18"/>
  <c r="AM219" i="18" l="1"/>
  <c r="AN220" i="18"/>
  <c r="AM460" i="18"/>
  <c r="AN461" i="18"/>
  <c r="M158" i="18"/>
  <c r="L158" i="18"/>
  <c r="AM218" i="18" l="1"/>
  <c r="AN219" i="18"/>
  <c r="AN460" i="18"/>
  <c r="AM459" i="18"/>
  <c r="M359" i="52"/>
  <c r="M360" i="52" s="1"/>
  <c r="X350" i="18"/>
  <c r="AM217" i="18" l="1"/>
  <c r="AN218" i="18"/>
  <c r="AM458" i="18"/>
  <c r="AN459" i="18"/>
  <c r="X349" i="18"/>
  <c r="AM216" i="18" l="1"/>
  <c r="AN217" i="18"/>
  <c r="AN458" i="18"/>
  <c r="AM457" i="18"/>
  <c r="X348" i="18"/>
  <c r="AM215" i="18" l="1"/>
  <c r="AN216" i="18"/>
  <c r="AM456" i="18"/>
  <c r="AN457" i="18"/>
  <c r="M157" i="18"/>
  <c r="L157" i="18"/>
  <c r="X347" i="18"/>
  <c r="AM214" i="18" l="1"/>
  <c r="AN214" i="18" s="1"/>
  <c r="AN215" i="18"/>
  <c r="AN456" i="18"/>
  <c r="AM455" i="18"/>
  <c r="X346" i="18"/>
  <c r="AM454" i="18" l="1"/>
  <c r="AN455" i="18"/>
  <c r="X345" i="18"/>
  <c r="AN454" i="18" l="1"/>
  <c r="AM453" i="18"/>
  <c r="AM452" i="18" l="1"/>
  <c r="AN453" i="18"/>
  <c r="M156" i="18"/>
  <c r="L156" i="18"/>
  <c r="AN452" i="18" l="1"/>
  <c r="AM451" i="18"/>
  <c r="M155" i="18"/>
  <c r="L155" i="18"/>
  <c r="AM450" i="18" l="1"/>
  <c r="AN451" i="18"/>
  <c r="L152" i="18"/>
  <c r="M152" i="18"/>
  <c r="L153" i="18"/>
  <c r="M153" i="18"/>
  <c r="L154" i="18"/>
  <c r="M154" i="18"/>
  <c r="L161" i="18"/>
  <c r="M161" i="18"/>
  <c r="AN450" i="18" l="1"/>
  <c r="AM449" i="18"/>
  <c r="O348" i="52"/>
  <c r="X344" i="18"/>
  <c r="AM448" i="18" l="1"/>
  <c r="AN449" i="18"/>
  <c r="X343" i="18"/>
  <c r="J347" i="52"/>
  <c r="AN448" i="18" l="1"/>
  <c r="AM447" i="18"/>
  <c r="L151" i="18"/>
  <c r="M151" i="18"/>
  <c r="M150" i="18"/>
  <c r="L150" i="18"/>
  <c r="X342" i="18"/>
  <c r="AN447" i="18" l="1"/>
  <c r="AM446" i="18"/>
  <c r="X341" i="18"/>
  <c r="AN446" i="18" l="1"/>
  <c r="AM445" i="18"/>
  <c r="AM444" i="18" l="1"/>
  <c r="AN445" i="18"/>
  <c r="AM443" i="18" l="1"/>
  <c r="AN444" i="18"/>
  <c r="X340" i="18" l="1"/>
  <c r="X339" i="18" l="1"/>
  <c r="X338" i="18" l="1"/>
  <c r="X337" i="18" l="1"/>
  <c r="N348" i="52"/>
  <c r="X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49" i="18" l="1"/>
  <c r="D65" i="60" l="1"/>
  <c r="F65" i="60" s="1"/>
  <c r="D64" i="60"/>
  <c r="F64" i="60" s="1"/>
  <c r="J319" i="52" l="1"/>
  <c r="O319" i="52" l="1"/>
  <c r="X317" i="18" l="1"/>
  <c r="X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4" i="18"/>
  <c r="D418" i="15" l="1"/>
  <c r="F419" i="15"/>
  <c r="F418" i="15" l="1"/>
  <c r="D417" i="15"/>
  <c r="X333" i="18"/>
  <c r="O305" i="52"/>
  <c r="J305" i="52"/>
  <c r="D416" i="15" l="1"/>
  <c r="F417" i="15"/>
  <c r="D415" i="15" l="1"/>
  <c r="F416" i="15"/>
  <c r="X332" i="18"/>
  <c r="O302" i="52"/>
  <c r="F415" i="15" l="1"/>
  <c r="D414" i="15"/>
  <c r="D413" i="15" l="1"/>
  <c r="F414" i="15"/>
  <c r="D412" i="15" l="1"/>
  <c r="F413" i="15"/>
  <c r="X331" i="18"/>
  <c r="O301" i="52"/>
  <c r="F412" i="15" l="1"/>
  <c r="D411" i="15"/>
  <c r="D410" i="15" l="1"/>
  <c r="F411" i="15"/>
  <c r="X330" i="18"/>
  <c r="X329" i="18"/>
  <c r="J300" i="52"/>
  <c r="F410" i="15" l="1"/>
  <c r="D409" i="15"/>
  <c r="X328" i="18"/>
  <c r="O299" i="52"/>
  <c r="X327" i="18"/>
  <c r="X326" i="18"/>
  <c r="D408" i="15" l="1"/>
  <c r="F409" i="15"/>
  <c r="X325" i="18"/>
  <c r="X324" i="18"/>
  <c r="X323" i="18"/>
  <c r="N35" i="18"/>
  <c r="O298" i="52"/>
  <c r="D407" i="15" l="1"/>
  <c r="F408" i="15"/>
  <c r="J298" i="52"/>
  <c r="F407" i="15" l="1"/>
  <c r="D406" i="15"/>
  <c r="O297" i="52"/>
  <c r="X322" i="18"/>
  <c r="X321" i="18"/>
  <c r="X320" i="18"/>
  <c r="D405" i="15" l="1"/>
  <c r="F406" i="15"/>
  <c r="X319" i="18"/>
  <c r="J296" i="52"/>
  <c r="D404" i="15" l="1"/>
  <c r="F405" i="15"/>
  <c r="J295" i="52"/>
  <c r="F404" i="15" l="1"/>
  <c r="D403" i="15"/>
  <c r="X318"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97" i="18"/>
  <c r="O290" i="52"/>
  <c r="O288" i="52"/>
  <c r="F399" i="15" l="1"/>
  <c r="D398" i="15"/>
  <c r="L9" i="62"/>
  <c r="N8" i="62"/>
  <c r="N51"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4" i="18"/>
  <c r="D388" i="15" l="1"/>
  <c r="F389" i="15"/>
  <c r="J275" i="52"/>
  <c r="F388" i="15" l="1"/>
  <c r="D387" i="15"/>
  <c r="X313" i="18"/>
  <c r="D386" i="15" l="1"/>
  <c r="F387" i="15"/>
  <c r="J274" i="52"/>
  <c r="F386" i="15" l="1"/>
  <c r="D385" i="15"/>
  <c r="X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1" i="18"/>
  <c r="X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8" i="18"/>
  <c r="X307" i="18"/>
  <c r="X306" i="18"/>
  <c r="D364" i="15" l="1"/>
  <c r="F365" i="15"/>
  <c r="O223" i="52"/>
  <c r="X305" i="18"/>
  <c r="F364" i="15" l="1"/>
  <c r="D363" i="15"/>
  <c r="J222" i="52"/>
  <c r="X304" i="18"/>
  <c r="D362" i="15" l="1"/>
  <c r="F363" i="15"/>
  <c r="X303" i="18"/>
  <c r="X302" i="18"/>
  <c r="D361" i="15" l="1"/>
  <c r="F362" i="15"/>
  <c r="O220" i="52"/>
  <c r="F361" i="15" l="1"/>
  <c r="D360" i="15"/>
  <c r="X301" i="18"/>
  <c r="X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8" i="18"/>
  <c r="F348" i="15" l="1"/>
  <c r="D347" i="15"/>
  <c r="O210" i="52"/>
  <c r="D346" i="15" l="1"/>
  <c r="F347" i="15"/>
  <c r="J210" i="52"/>
  <c r="D345" i="15" l="1"/>
  <c r="F346" i="15"/>
  <c r="J209" i="52"/>
  <c r="O208" i="52"/>
  <c r="J208" i="52"/>
  <c r="D344" i="15" l="1"/>
  <c r="F345" i="15"/>
  <c r="X297" i="18"/>
  <c r="F344" i="15" l="1"/>
  <c r="D343" i="15"/>
  <c r="O207" i="52"/>
  <c r="J207" i="52"/>
  <c r="X296" i="18"/>
  <c r="D342" i="15" l="1"/>
  <c r="F343" i="15"/>
  <c r="X295" i="18"/>
  <c r="D341" i="15" l="1"/>
  <c r="F342" i="15"/>
  <c r="X294" i="18"/>
  <c r="D340" i="15" l="1"/>
  <c r="F341" i="15"/>
  <c r="O204" i="52"/>
  <c r="F340" i="15" l="1"/>
  <c r="D339" i="15"/>
  <c r="J203" i="52"/>
  <c r="X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2" i="18"/>
  <c r="X291" i="18"/>
  <c r="X290" i="18"/>
  <c r="J202" i="52"/>
  <c r="D336" i="15" l="1"/>
  <c r="F337" i="15"/>
  <c r="X289" i="18"/>
  <c r="J201" i="52"/>
  <c r="X288" i="18"/>
  <c r="F336" i="15" l="1"/>
  <c r="D335" i="15"/>
  <c r="J200" i="52"/>
  <c r="D334" i="15" l="1"/>
  <c r="F335" i="15"/>
  <c r="X28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6" i="18"/>
  <c r="F330" i="15" l="1"/>
  <c r="D329" i="15"/>
  <c r="D328" i="15" l="1"/>
  <c r="F329" i="15"/>
  <c r="X285" i="18"/>
  <c r="D327" i="15" l="1"/>
  <c r="F328" i="15"/>
  <c r="AM213" i="18" l="1"/>
  <c r="F327" i="15"/>
  <c r="D326" i="15"/>
  <c r="AM212" i="18" l="1"/>
  <c r="AN213" i="18"/>
  <c r="F326" i="15"/>
  <c r="D325" i="15"/>
  <c r="J195" i="52"/>
  <c r="O195" i="52"/>
  <c r="J194" i="52"/>
  <c r="X284" i="18"/>
  <c r="AM211" i="18" l="1"/>
  <c r="AN212" i="18"/>
  <c r="F325" i="15"/>
  <c r="D324" i="15"/>
  <c r="N194" i="52"/>
  <c r="X283" i="18"/>
  <c r="X282" i="18"/>
  <c r="AM210" i="18" l="1"/>
  <c r="AN211" i="18"/>
  <c r="F324" i="15"/>
  <c r="D323" i="15"/>
  <c r="X281" i="18"/>
  <c r="AN210" i="18" l="1"/>
  <c r="AM209" i="18"/>
  <c r="F323" i="15"/>
  <c r="D322" i="15"/>
  <c r="S156" i="18"/>
  <c r="T156" i="18" s="1"/>
  <c r="AM208" i="18" l="1"/>
  <c r="AN209" i="18"/>
  <c r="F322" i="15"/>
  <c r="D321" i="15"/>
  <c r="X280" i="18"/>
  <c r="AN208" i="18" l="1"/>
  <c r="AM207" i="18"/>
  <c r="F321" i="15"/>
  <c r="D320" i="15"/>
  <c r="X279" i="18"/>
  <c r="O190" i="52"/>
  <c r="J190" i="52"/>
  <c r="AM206" i="18" l="1"/>
  <c r="AN207" i="18"/>
  <c r="F320" i="15"/>
  <c r="D319" i="15"/>
  <c r="X278" i="18"/>
  <c r="AN206" i="18" l="1"/>
  <c r="AM205" i="18"/>
  <c r="F319" i="15"/>
  <c r="D318" i="15"/>
  <c r="N57" i="18"/>
  <c r="N54" i="18"/>
  <c r="M95" i="18" l="1"/>
  <c r="AN205" i="18"/>
  <c r="AM204" i="18"/>
  <c r="F318" i="15"/>
  <c r="D317" i="15"/>
  <c r="O187" i="52"/>
  <c r="X277" i="18"/>
  <c r="AN204" i="18" l="1"/>
  <c r="AM203" i="18"/>
  <c r="F317" i="15"/>
  <c r="D316" i="15"/>
  <c r="J186" i="52"/>
  <c r="X276" i="18"/>
  <c r="X264" i="18"/>
  <c r="X263" i="18"/>
  <c r="AN203" i="18" l="1"/>
  <c r="AM202" i="18"/>
  <c r="F316" i="15"/>
  <c r="D315" i="15"/>
  <c r="J185" i="52"/>
  <c r="X275" i="18"/>
  <c r="AN202" i="18" l="1"/>
  <c r="AM201" i="18"/>
  <c r="F315" i="15"/>
  <c r="D314" i="15"/>
  <c r="AM200" i="18" l="1"/>
  <c r="AN201" i="18"/>
  <c r="F314" i="15"/>
  <c r="D313" i="15"/>
  <c r="AM199" i="18" l="1"/>
  <c r="AN200" i="18"/>
  <c r="F313" i="15"/>
  <c r="D312" i="15"/>
  <c r="N181" i="52"/>
  <c r="AM198" i="18" l="1"/>
  <c r="AN199" i="18"/>
  <c r="F312" i="15"/>
  <c r="D311" i="15"/>
  <c r="X274" i="18"/>
  <c r="B8" i="36"/>
  <c r="AM197" i="18" l="1"/>
  <c r="AN198" i="18"/>
  <c r="F311" i="15"/>
  <c r="D310" i="15"/>
  <c r="O178" i="52"/>
  <c r="J178" i="52"/>
  <c r="AN197" i="18" l="1"/>
  <c r="AM196" i="18"/>
  <c r="F310" i="15"/>
  <c r="D309" i="15"/>
  <c r="N50" i="18"/>
  <c r="G140" i="18" s="1"/>
  <c r="X273" i="18"/>
  <c r="O177" i="52"/>
  <c r="J177" i="52"/>
  <c r="M96" i="18" l="1"/>
  <c r="G141" i="18"/>
  <c r="AN196" i="18"/>
  <c r="AM195" i="18"/>
  <c r="F309" i="15"/>
  <c r="D308" i="15"/>
  <c r="O176" i="52"/>
  <c r="J176" i="52"/>
  <c r="AN195" i="18" l="1"/>
  <c r="AM194" i="18"/>
  <c r="F308" i="15"/>
  <c r="D307" i="15"/>
  <c r="F307" i="15" s="1"/>
  <c r="AN194" i="18" l="1"/>
  <c r="AM193" i="18"/>
  <c r="J174" i="52"/>
  <c r="X272" i="18"/>
  <c r="AN193" i="18" l="1"/>
  <c r="AM192" i="18"/>
  <c r="J168" i="52"/>
  <c r="O168" i="52"/>
  <c r="X271" i="18"/>
  <c r="AN192" i="18" l="1"/>
  <c r="AM191" i="18"/>
  <c r="AN191" i="18" s="1"/>
  <c r="O167" i="52"/>
  <c r="X270" i="18"/>
  <c r="O166" i="52" l="1"/>
  <c r="X269" i="18"/>
  <c r="X268" i="18" l="1"/>
  <c r="O165" i="52"/>
  <c r="J165" i="52"/>
  <c r="AM442" i="18" l="1"/>
  <c r="AN443" i="18"/>
  <c r="O162" i="52"/>
  <c r="J162" i="52"/>
  <c r="X267"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66" i="18"/>
  <c r="AM438" i="18" l="1"/>
  <c r="AN439" i="18"/>
  <c r="X265" i="18"/>
  <c r="AN438" i="18" l="1"/>
  <c r="AM437" i="18"/>
  <c r="AM190" i="18"/>
  <c r="AM436" i="18" l="1"/>
  <c r="AN437" i="18"/>
  <c r="AM189" i="18"/>
  <c r="AN190" i="18"/>
  <c r="N159" i="52"/>
  <c r="P160" i="52" s="1"/>
  <c r="X262"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1" i="18"/>
  <c r="X260" i="18"/>
  <c r="O150" i="52"/>
  <c r="AM431" i="18" l="1"/>
  <c r="AN432" i="18"/>
  <c r="AN185" i="18"/>
  <c r="AM184" i="18"/>
  <c r="AM430" i="18" l="1"/>
  <c r="AN431" i="18"/>
  <c r="AM183" i="18"/>
  <c r="AN184" i="18"/>
  <c r="Q146" i="52"/>
  <c r="J146" i="52"/>
  <c r="X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8" i="18"/>
  <c r="AN428" i="18" l="1"/>
  <c r="AM427" i="18"/>
  <c r="AN181" i="18"/>
  <c r="AM180" i="18"/>
  <c r="X257" i="18"/>
  <c r="AM426" i="18" l="1"/>
  <c r="AN427" i="18"/>
  <c r="AN180" i="18"/>
  <c r="AM179" i="18"/>
  <c r="O142" i="52"/>
  <c r="J142" i="52"/>
  <c r="X256" i="18"/>
  <c r="AM425" i="18" l="1"/>
  <c r="AN426" i="18"/>
  <c r="AN179" i="18"/>
  <c r="AM178" i="18"/>
  <c r="AN178" i="18" s="1"/>
  <c r="O140" i="52"/>
  <c r="J140" i="52"/>
  <c r="X255" i="18"/>
  <c r="AN425" i="18" l="1"/>
  <c r="AM424" i="18"/>
  <c r="X254" i="18"/>
  <c r="X253" i="18"/>
  <c r="O139" i="52"/>
  <c r="J139" i="52"/>
  <c r="AN424" i="18" l="1"/>
  <c r="AM423" i="18"/>
  <c r="X252" i="18"/>
  <c r="AN423" i="18" l="1"/>
  <c r="AM422" i="18"/>
  <c r="AN422" i="18" l="1"/>
  <c r="AM421" i="18"/>
  <c r="M41" i="52"/>
  <c r="AN421" i="18" l="1"/>
  <c r="AM420" i="18"/>
  <c r="O135" i="52"/>
  <c r="J135" i="52"/>
  <c r="AN420" i="18" l="1"/>
  <c r="AM419" i="18"/>
  <c r="AM418" i="18" l="1"/>
  <c r="AN419" i="18"/>
  <c r="X251" i="18"/>
  <c r="AM417" i="18" l="1"/>
  <c r="AN418" i="18"/>
  <c r="O132" i="52"/>
  <c r="X250" i="18"/>
  <c r="AN417" i="18" l="1"/>
  <c r="AM416" i="18"/>
  <c r="O131" i="52"/>
  <c r="J3" i="60"/>
  <c r="J4" i="60"/>
  <c r="O8" i="60"/>
  <c r="AM415" i="18" l="1"/>
  <c r="AN416" i="18"/>
  <c r="O130" i="52"/>
  <c r="O129" i="52"/>
  <c r="X249" i="18"/>
  <c r="X248" i="18"/>
  <c r="AM414" i="18" l="1"/>
  <c r="AN415" i="18"/>
  <c r="N129" i="52"/>
  <c r="AM413" i="18" l="1"/>
  <c r="AN414" i="18"/>
  <c r="O127" i="52"/>
  <c r="AM412" i="18" l="1"/>
  <c r="AN413" i="18"/>
  <c r="J126" i="52"/>
  <c r="O126" i="52"/>
  <c r="X247" i="18"/>
  <c r="AN412" i="18" l="1"/>
  <c r="AM411" i="18"/>
  <c r="O125" i="52"/>
  <c r="J125" i="52"/>
  <c r="AN411" i="18" l="1"/>
  <c r="AM410" i="18"/>
  <c r="X246"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5"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4" i="18"/>
  <c r="AN407" i="18" l="1"/>
  <c r="AM406" i="18"/>
  <c r="AN406" i="18" l="1"/>
  <c r="AM405" i="18"/>
  <c r="O121" i="52"/>
  <c r="J121" i="52"/>
  <c r="X243" i="18"/>
  <c r="AM404" i="18" l="1"/>
  <c r="AN405" i="18"/>
  <c r="X242" i="18"/>
  <c r="J120" i="52"/>
  <c r="AN404" i="18" l="1"/>
  <c r="AM403" i="18"/>
  <c r="AM402" i="18" l="1"/>
  <c r="AN403" i="18"/>
  <c r="O117" i="52"/>
  <c r="AN402" i="18" l="1"/>
  <c r="AM401" i="18"/>
  <c r="O116" i="52"/>
  <c r="N116" i="52"/>
  <c r="AN401" i="18" l="1"/>
  <c r="AM400" i="18"/>
  <c r="X241"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0" i="18"/>
  <c r="J108" i="52"/>
  <c r="AN392" i="18" l="1"/>
  <c r="AM391" i="18"/>
  <c r="D303" i="15"/>
  <c r="F303" i="15" s="1"/>
  <c r="X239" i="18"/>
  <c r="X238" i="18"/>
  <c r="AN391" i="18" l="1"/>
  <c r="AM390" i="18"/>
  <c r="D302" i="15"/>
  <c r="F302" i="15" s="1"/>
  <c r="O106" i="52"/>
  <c r="J106" i="52"/>
  <c r="AM389" i="18" l="1"/>
  <c r="AN390" i="18"/>
  <c r="D301" i="15"/>
  <c r="F301" i="15" s="1"/>
  <c r="J104" i="52"/>
  <c r="E276" i="15"/>
  <c r="E277" i="15"/>
  <c r="E278" i="15"/>
  <c r="E279" i="15"/>
  <c r="E280" i="15"/>
  <c r="AM388" i="18" l="1"/>
  <c r="AN389" i="18"/>
  <c r="D300" i="15"/>
  <c r="F300" i="15" s="1"/>
  <c r="X237"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F23" i="60" s="1"/>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36" i="18"/>
  <c r="H29" i="60" l="1"/>
  <c r="H27" i="60"/>
  <c r="H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35"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54" i="18"/>
  <c r="X234" i="18"/>
  <c r="X233" i="18"/>
  <c r="X232" i="18"/>
  <c r="M48" i="52"/>
  <c r="M47" i="52"/>
  <c r="N38" i="52"/>
  <c r="N37" i="52"/>
  <c r="M49" i="52"/>
  <c r="N50" i="52" s="1"/>
  <c r="AM375" i="18" l="1"/>
  <c r="AN376" i="18"/>
  <c r="D287" i="15"/>
  <c r="F287" i="15" s="1"/>
  <c r="N49" i="52"/>
  <c r="X231" i="18"/>
  <c r="AN375" i="18" l="1"/>
  <c r="AM374" i="18"/>
  <c r="D286" i="15"/>
  <c r="F286" i="15" s="1"/>
  <c r="AM373" i="18" l="1"/>
  <c r="AN374" i="18"/>
  <c r="D285" i="15"/>
  <c r="F285" i="15" s="1"/>
  <c r="X230"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9" i="18"/>
  <c r="AN371" i="18" l="1"/>
  <c r="AM370" i="18"/>
  <c r="D282" i="15"/>
  <c r="F282" i="15" s="1"/>
  <c r="G32" i="57"/>
  <c r="H32" i="57"/>
  <c r="D32" i="57"/>
  <c r="I32" i="57" s="1"/>
  <c r="D345" i="20"/>
  <c r="X228" i="18"/>
  <c r="X227"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26" i="18"/>
  <c r="D343" i="20"/>
  <c r="AM366" i="18" l="1"/>
  <c r="AN367" i="18"/>
  <c r="D278" i="15"/>
  <c r="F278" i="15" s="1"/>
  <c r="X225" i="18"/>
  <c r="D342" i="20"/>
  <c r="J83" i="52"/>
  <c r="O83" i="52"/>
  <c r="X224" i="18"/>
  <c r="X223" i="18"/>
  <c r="F44" i="14"/>
  <c r="F45" i="14"/>
  <c r="F46" i="14"/>
  <c r="F47" i="14"/>
  <c r="F48" i="14"/>
  <c r="F49" i="14"/>
  <c r="F50" i="14"/>
  <c r="D341" i="20"/>
  <c r="AM365" i="18" l="1"/>
  <c r="AN366" i="18"/>
  <c r="D277" i="15"/>
  <c r="F277" i="15" s="1"/>
  <c r="AN365" i="18" l="1"/>
  <c r="AM364" i="18"/>
  <c r="D276" i="15"/>
  <c r="F276" i="15" s="1"/>
  <c r="X222" i="18"/>
  <c r="AM363" i="18" l="1"/>
  <c r="AN364" i="18"/>
  <c r="D340" i="20"/>
  <c r="X221" i="18"/>
  <c r="H337" i="20"/>
  <c r="H338" i="20"/>
  <c r="H339" i="20"/>
  <c r="H340" i="20"/>
  <c r="H341" i="20"/>
  <c r="H368" i="20"/>
  <c r="H369" i="20"/>
  <c r="D339" i="20"/>
  <c r="AM362" i="18" l="1"/>
  <c r="AN363" i="18"/>
  <c r="B371" i="20"/>
  <c r="D332" i="20"/>
  <c r="D333" i="20"/>
  <c r="D334" i="20"/>
  <c r="D335" i="20"/>
  <c r="D336" i="20"/>
  <c r="D337" i="20"/>
  <c r="D338" i="20"/>
  <c r="D369" i="20"/>
  <c r="AM361" i="18" l="1"/>
  <c r="AN362" i="18"/>
  <c r="X220" i="18"/>
  <c r="D80" i="57"/>
  <c r="AM360" i="18" l="1"/>
  <c r="AN361" i="18"/>
  <c r="G46" i="10"/>
  <c r="AM359" i="18" l="1"/>
  <c r="AN360" i="18"/>
  <c r="D331" i="20"/>
  <c r="AM358" i="18" l="1"/>
  <c r="AN359" i="18"/>
  <c r="D330" i="20"/>
  <c r="AM357" i="18" l="1"/>
  <c r="AN358" i="18"/>
  <c r="X219" i="18"/>
  <c r="X218"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7" i="18"/>
  <c r="X216" i="18"/>
  <c r="AM345" i="18" l="1"/>
  <c r="AN346" i="18"/>
  <c r="S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15" i="18"/>
  <c r="X214" i="18"/>
  <c r="N36" i="52"/>
  <c r="N35" i="52"/>
  <c r="Q42" i="52"/>
  <c r="AM343" i="18" l="1"/>
  <c r="AN344" i="18"/>
  <c r="X213" i="18"/>
  <c r="X212"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1" i="18"/>
  <c r="X210" i="18"/>
  <c r="N32" i="52"/>
  <c r="N31" i="52"/>
  <c r="AM338" i="18" l="1"/>
  <c r="AN338" i="18" s="1"/>
  <c r="AN339" i="18"/>
  <c r="X209" i="18"/>
  <c r="X208" i="18"/>
  <c r="N30" i="52"/>
  <c r="N29" i="52"/>
  <c r="X207" i="18" l="1"/>
  <c r="X206" i="18"/>
  <c r="N28" i="52"/>
  <c r="N27" i="52"/>
  <c r="AM337" i="18" l="1"/>
  <c r="D313" i="20"/>
  <c r="AM336" i="18" l="1"/>
  <c r="AN337" i="18"/>
  <c r="L102" i="18"/>
  <c r="L98" i="18" l="1"/>
  <c r="N98" i="18" s="1"/>
  <c r="L99" i="18"/>
  <c r="N99" i="18" s="1"/>
  <c r="L97" i="18"/>
  <c r="N97" i="18" s="1"/>
  <c r="M102" i="18"/>
  <c r="AN336" i="18"/>
  <c r="AM335" i="18"/>
  <c r="L94" i="18"/>
  <c r="X205" i="18"/>
  <c r="X204" i="18"/>
  <c r="N24" i="52"/>
  <c r="N26" i="52"/>
  <c r="N25" i="52"/>
  <c r="AM334" i="18" l="1"/>
  <c r="AN335" i="18"/>
  <c r="L96"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03" i="18"/>
  <c r="X202" i="18"/>
  <c r="N23" i="52"/>
  <c r="N22" i="52"/>
  <c r="I368" i="20" l="1"/>
  <c r="G367" i="20"/>
  <c r="J368" i="20"/>
  <c r="K368" i="20"/>
  <c r="AM332" i="18"/>
  <c r="AN333" i="18"/>
  <c r="X201" i="18"/>
  <c r="X200"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9" i="18"/>
  <c r="X198"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7" i="18"/>
  <c r="X196" i="18"/>
  <c r="N17" i="52"/>
  <c r="N16" i="52"/>
  <c r="AM170" i="18" l="1"/>
  <c r="AN171" i="18"/>
  <c r="I356" i="20"/>
  <c r="G355" i="20"/>
  <c r="J356" i="20"/>
  <c r="K356" i="20"/>
  <c r="L95" i="18"/>
  <c r="AM169" i="18" l="1"/>
  <c r="AM168" i="18" s="1"/>
  <c r="AN170" i="18"/>
  <c r="J355" i="20"/>
  <c r="I355" i="20"/>
  <c r="G354" i="20"/>
  <c r="K355" i="20"/>
  <c r="X195" i="18"/>
  <c r="X194" i="18"/>
  <c r="D303" i="20"/>
  <c r="D302" i="20"/>
  <c r="X193" i="18"/>
  <c r="AM167" i="18" l="1"/>
  <c r="AN168" i="18"/>
  <c r="AN169" i="18"/>
  <c r="K354" i="20"/>
  <c r="J354" i="20"/>
  <c r="G353" i="20"/>
  <c r="I354" i="20"/>
  <c r="D301" i="20"/>
  <c r="D300" i="20"/>
  <c r="D299" i="20"/>
  <c r="AN167" i="18" l="1"/>
  <c r="AM166" i="18"/>
  <c r="I353" i="20"/>
  <c r="G352" i="20"/>
  <c r="J353" i="20"/>
  <c r="K353" i="20"/>
  <c r="P28"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1" i="18"/>
  <c r="AM163" i="18" l="1"/>
  <c r="AN164" i="18"/>
  <c r="I350" i="20"/>
  <c r="J350" i="20"/>
  <c r="K350" i="20"/>
  <c r="G349" i="20"/>
  <c r="D296" i="20"/>
  <c r="D295" i="20"/>
  <c r="AN163" i="18" l="1"/>
  <c r="AM162" i="18"/>
  <c r="K349" i="20"/>
  <c r="I349" i="20"/>
  <c r="J349" i="20"/>
  <c r="G348" i="20"/>
  <c r="X190" i="18"/>
  <c r="X189"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8" i="18"/>
  <c r="X187" i="18"/>
  <c r="AN161" i="18" l="1"/>
  <c r="AM160" i="18"/>
  <c r="G346" i="20"/>
  <c r="J347" i="20"/>
  <c r="I347" i="20"/>
  <c r="K347" i="20"/>
  <c r="D293" i="20"/>
  <c r="AM159" i="18" l="1"/>
  <c r="AN160" i="18"/>
  <c r="K346" i="20"/>
  <c r="G345" i="20"/>
  <c r="J346" i="20"/>
  <c r="I346" i="20"/>
  <c r="X186" i="18"/>
  <c r="AN159" i="18" l="1"/>
  <c r="AM158" i="18"/>
  <c r="K345" i="20"/>
  <c r="G344" i="20"/>
  <c r="J345" i="20"/>
  <c r="I345" i="20"/>
  <c r="D292" i="20"/>
  <c r="C8" i="36"/>
  <c r="X18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4" i="18"/>
  <c r="N125" i="18"/>
  <c r="N126" i="18"/>
  <c r="N127" i="18"/>
  <c r="N128" i="18"/>
  <c r="N129" i="18"/>
  <c r="N130" i="18"/>
  <c r="N131" i="18"/>
  <c r="N123"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1" i="18"/>
  <c r="AN124" i="18" l="1"/>
  <c r="AM123" i="18"/>
  <c r="AN123" i="18" l="1"/>
  <c r="AM122" i="18"/>
  <c r="AM121" i="18" l="1"/>
  <c r="AN122" i="18"/>
  <c r="X175" i="18"/>
  <c r="X176" i="18"/>
  <c r="X177" i="18"/>
  <c r="X178" i="18"/>
  <c r="X179" i="18"/>
  <c r="X180" i="18"/>
  <c r="X192" i="18"/>
  <c r="X174" i="18"/>
  <c r="AN121" i="18" l="1"/>
  <c r="AM120" i="18"/>
  <c r="N56" i="18"/>
  <c r="S175" i="18" l="1"/>
  <c r="AN120" i="18"/>
  <c r="AM119" i="18"/>
  <c r="AN119" i="18" l="1"/>
  <c r="AM118" i="18"/>
  <c r="T81" i="18"/>
  <c r="T82" i="18" s="1"/>
  <c r="S180" i="18"/>
  <c r="S178" i="18"/>
  <c r="D57" i="51"/>
  <c r="T83" i="18" l="1"/>
  <c r="T84" i="18" s="1"/>
  <c r="T85" i="18" s="1"/>
  <c r="AM117" i="18"/>
  <c r="AN118" i="18"/>
  <c r="AN117" i="18" l="1"/>
  <c r="AM116" i="18"/>
  <c r="T86" i="18"/>
  <c r="T87" i="18" s="1"/>
  <c r="N36" i="18"/>
  <c r="S177" i="18" l="1"/>
  <c r="R104" i="18"/>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8" i="18" l="1"/>
  <c r="T89" i="18" s="1"/>
  <c r="T90" i="18" s="1"/>
  <c r="T91" i="18" s="1"/>
  <c r="AM113" i="18"/>
  <c r="AN114" i="18"/>
  <c r="T20" i="18"/>
  <c r="T21" i="18" s="1"/>
  <c r="AM112" i="18" l="1"/>
  <c r="AN113" i="18"/>
  <c r="R151" i="18" l="1"/>
  <c r="AN112" i="18"/>
  <c r="AM111" i="18"/>
  <c r="D108" i="50"/>
  <c r="AM110" i="18" l="1"/>
  <c r="AN111" i="18"/>
  <c r="AM109" i="18" l="1"/>
  <c r="AN110" i="18"/>
  <c r="N96" i="18" l="1"/>
  <c r="AM108" i="18"/>
  <c r="AN109" i="18"/>
  <c r="N22" i="33"/>
  <c r="R22" i="33" s="1"/>
  <c r="E22" i="33" l="1"/>
  <c r="AM107" i="18"/>
  <c r="AN108" i="18"/>
  <c r="C22" i="33"/>
  <c r="J22" i="33"/>
  <c r="F22" i="33"/>
  <c r="B22" i="33"/>
  <c r="I22" i="33"/>
  <c r="L22" i="33"/>
  <c r="H22" i="33"/>
  <c r="D22" i="33"/>
  <c r="K22" i="33"/>
  <c r="G22" i="33"/>
  <c r="AN107" i="18" l="1"/>
  <c r="AM106" i="18"/>
  <c r="T92" i="18" l="1"/>
  <c r="T93" i="18" s="1"/>
  <c r="T94" i="18" s="1"/>
  <c r="T95" i="18" s="1"/>
  <c r="T96" i="18" s="1"/>
  <c r="T97"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95"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94" i="18" s="1"/>
  <c r="N94" i="18" l="1"/>
  <c r="I140" i="18"/>
  <c r="I141" i="18" s="1"/>
  <c r="S176" i="18"/>
  <c r="R76"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02" i="18" l="1"/>
  <c r="S190"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41" i="18"/>
  <c r="W544" i="18" s="1"/>
  <c r="V554" i="18"/>
  <c r="W554" i="18" s="1"/>
  <c r="G304" i="20"/>
  <c r="I305" i="20"/>
  <c r="K305" i="20"/>
  <c r="J305" i="20"/>
  <c r="AM73" i="18"/>
  <c r="AN74" i="18"/>
  <c r="S108" i="18"/>
  <c r="W145" i="18" s="1"/>
  <c r="X145" i="18" l="1"/>
  <c r="Y145" i="18"/>
  <c r="W73" i="18"/>
  <c r="W144" i="18"/>
  <c r="W142" i="18"/>
  <c r="X142" i="18" s="1"/>
  <c r="W143" i="18"/>
  <c r="W72" i="18"/>
  <c r="W141" i="18"/>
  <c r="W71" i="18"/>
  <c r="W140" i="18"/>
  <c r="Y140" i="18" s="1"/>
  <c r="W70" i="18"/>
  <c r="W69" i="18"/>
  <c r="W139" i="18"/>
  <c r="X139" i="18" s="1"/>
  <c r="W68" i="18"/>
  <c r="W138" i="18"/>
  <c r="W67" i="18"/>
  <c r="W66" i="18"/>
  <c r="W99" i="18"/>
  <c r="W98" i="18"/>
  <c r="W137" i="18"/>
  <c r="W65" i="18"/>
  <c r="W63" i="18"/>
  <c r="X63" i="18" s="1"/>
  <c r="W64" i="18"/>
  <c r="W136" i="18"/>
  <c r="W135" i="18"/>
  <c r="W149" i="18"/>
  <c r="W62" i="18"/>
  <c r="W75" i="18"/>
  <c r="W134" i="18"/>
  <c r="X134" i="18" s="1"/>
  <c r="W132" i="18"/>
  <c r="X132" i="18" s="1"/>
  <c r="W133" i="18"/>
  <c r="W131" i="18"/>
  <c r="W129" i="18"/>
  <c r="X129" i="18" s="1"/>
  <c r="W130" i="18"/>
  <c r="W61" i="18"/>
  <c r="X61" i="18" s="1"/>
  <c r="W128" i="18"/>
  <c r="W150" i="18"/>
  <c r="W50" i="18"/>
  <c r="W54" i="18"/>
  <c r="W49" i="18"/>
  <c r="W55" i="18"/>
  <c r="W47" i="18"/>
  <c r="W51" i="18"/>
  <c r="W48" i="18"/>
  <c r="W52" i="18"/>
  <c r="W53" i="18"/>
  <c r="W97" i="18"/>
  <c r="W103" i="18"/>
  <c r="W101" i="18"/>
  <c r="W102" i="18"/>
  <c r="W96" i="18"/>
  <c r="W95" i="18"/>
  <c r="W94" i="18"/>
  <c r="W93" i="18"/>
  <c r="W92" i="18"/>
  <c r="W91" i="18"/>
  <c r="X91" i="18" s="1"/>
  <c r="W45" i="18"/>
  <c r="W46" i="18"/>
  <c r="W44" i="18"/>
  <c r="W43" i="18"/>
  <c r="W42" i="18"/>
  <c r="W41" i="18"/>
  <c r="W37" i="18"/>
  <c r="W38" i="18"/>
  <c r="W39" i="18"/>
  <c r="W40" i="18"/>
  <c r="W35" i="18"/>
  <c r="W36" i="18"/>
  <c r="W34" i="18"/>
  <c r="W31" i="18"/>
  <c r="W32" i="18"/>
  <c r="W33" i="18"/>
  <c r="W90" i="18"/>
  <c r="X160" i="18"/>
  <c r="X162" i="18"/>
  <c r="W112" i="18"/>
  <c r="W89" i="18"/>
  <c r="X89" i="18" s="1"/>
  <c r="W30" i="18"/>
  <c r="W29" i="18"/>
  <c r="W28" i="18"/>
  <c r="X28" i="18" s="1"/>
  <c r="W88" i="18"/>
  <c r="W87" i="18"/>
  <c r="W27" i="18"/>
  <c r="G303" i="20"/>
  <c r="K304" i="20"/>
  <c r="I304" i="20"/>
  <c r="J304" i="20"/>
  <c r="W26" i="18"/>
  <c r="X26" i="18" s="1"/>
  <c r="W86" i="18"/>
  <c r="W25" i="18"/>
  <c r="W24" i="18"/>
  <c r="X24" i="18" s="1"/>
  <c r="W85" i="18"/>
  <c r="W23" i="18"/>
  <c r="Y23" i="18" s="1"/>
  <c r="W84" i="18"/>
  <c r="W83" i="18"/>
  <c r="W82" i="18"/>
  <c r="W22" i="18"/>
  <c r="W21" i="18"/>
  <c r="W20" i="18"/>
  <c r="AM72" i="18"/>
  <c r="AN73" i="18"/>
  <c r="Y142" i="18" l="1"/>
  <c r="X144" i="18"/>
  <c r="Y144" i="18"/>
  <c r="X73" i="18"/>
  <c r="Y73" i="18"/>
  <c r="Y143" i="18"/>
  <c r="X143" i="18"/>
  <c r="X141" i="18"/>
  <c r="Y141" i="18"/>
  <c r="X72" i="18"/>
  <c r="Y72" i="18"/>
  <c r="X71" i="18"/>
  <c r="Y71" i="18"/>
  <c r="X140" i="18"/>
  <c r="X70" i="18"/>
  <c r="Y70" i="18"/>
  <c r="X69" i="18"/>
  <c r="Y69" i="18"/>
  <c r="Y139" i="18"/>
  <c r="X68" i="18"/>
  <c r="Y68" i="18"/>
  <c r="X67" i="18"/>
  <c r="Y67" i="18"/>
  <c r="X138" i="18"/>
  <c r="Y138" i="18"/>
  <c r="X66" i="18"/>
  <c r="Y66" i="18"/>
  <c r="X98" i="18"/>
  <c r="Y98" i="18"/>
  <c r="X99" i="18"/>
  <c r="Y99" i="18"/>
  <c r="X137" i="18"/>
  <c r="Y137" i="18"/>
  <c r="X65" i="18"/>
  <c r="Y65" i="18"/>
  <c r="Y63" i="18"/>
  <c r="X64" i="18"/>
  <c r="Y64" i="18"/>
  <c r="Y136" i="18"/>
  <c r="X136" i="18"/>
  <c r="Y135" i="18"/>
  <c r="X135" i="18"/>
  <c r="Y149" i="18"/>
  <c r="X149" i="18"/>
  <c r="X75" i="18"/>
  <c r="Y75" i="18"/>
  <c r="X62" i="18"/>
  <c r="Y62" i="18"/>
  <c r="Y134" i="18"/>
  <c r="Y132" i="18"/>
  <c r="Y133" i="18"/>
  <c r="X133" i="18"/>
  <c r="Y129" i="18"/>
  <c r="Y131" i="18"/>
  <c r="X131" i="18"/>
  <c r="X130" i="18"/>
  <c r="Y130" i="18"/>
  <c r="Y61" i="18"/>
  <c r="X128" i="18"/>
  <c r="Y128" i="18"/>
  <c r="X150" i="18"/>
  <c r="Y150" i="18"/>
  <c r="X52" i="18"/>
  <c r="Y52" i="18"/>
  <c r="X55" i="18"/>
  <c r="Y55" i="18"/>
  <c r="X48" i="18"/>
  <c r="Y48" i="18"/>
  <c r="Y49" i="18"/>
  <c r="X49" i="18"/>
  <c r="X51" i="18"/>
  <c r="Y51" i="18"/>
  <c r="X54" i="18"/>
  <c r="Y54" i="18"/>
  <c r="Y53" i="18"/>
  <c r="X53" i="18"/>
  <c r="X47" i="18"/>
  <c r="Y47" i="18"/>
  <c r="X50" i="18"/>
  <c r="Y50" i="18"/>
  <c r="Y102" i="18"/>
  <c r="X102" i="18"/>
  <c r="Y101" i="18"/>
  <c r="X101" i="18"/>
  <c r="X103" i="18"/>
  <c r="Y103" i="18"/>
  <c r="X97" i="18"/>
  <c r="Y97" i="18"/>
  <c r="X166" i="18"/>
  <c r="Y91" i="18"/>
  <c r="X95" i="18"/>
  <c r="Y95" i="18"/>
  <c r="X96" i="18"/>
  <c r="Y96" i="18"/>
  <c r="X94" i="18"/>
  <c r="Y94" i="18"/>
  <c r="X93" i="18"/>
  <c r="Y93" i="18"/>
  <c r="Y92" i="18"/>
  <c r="X92"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0" i="18"/>
  <c r="Y90" i="18"/>
  <c r="Y89" i="18"/>
  <c r="Y30" i="18"/>
  <c r="X30" i="18"/>
  <c r="X29" i="18"/>
  <c r="Y29" i="18"/>
  <c r="Y28" i="18"/>
  <c r="X88" i="18"/>
  <c r="Y88" i="18"/>
  <c r="X87" i="18"/>
  <c r="Y87" i="18"/>
  <c r="X27" i="18"/>
  <c r="Y27" i="18"/>
  <c r="X161" i="18"/>
  <c r="G142" i="18" s="1"/>
  <c r="G302" i="20"/>
  <c r="K303" i="20"/>
  <c r="I303" i="20"/>
  <c r="J303" i="20"/>
  <c r="Y26" i="18"/>
  <c r="X86" i="18"/>
  <c r="Y86" i="18"/>
  <c r="X25" i="18"/>
  <c r="Y25" i="18"/>
  <c r="Y24" i="18"/>
  <c r="X85" i="18"/>
  <c r="Y85" i="18"/>
  <c r="X23" i="18"/>
  <c r="X84" i="18"/>
  <c r="Y84" i="18"/>
  <c r="X83" i="18"/>
  <c r="Y83" i="18"/>
  <c r="X159" i="18"/>
  <c r="Y82" i="18"/>
  <c r="X82" i="18"/>
  <c r="X22" i="18"/>
  <c r="Y22" i="18"/>
  <c r="X20" i="18"/>
  <c r="Y20" i="18"/>
  <c r="X112" i="18"/>
  <c r="Y112" i="18"/>
  <c r="X21" i="18"/>
  <c r="Y21" i="18"/>
  <c r="AM71" i="18"/>
  <c r="AN72" i="18"/>
  <c r="X165" i="18" l="1"/>
  <c r="Y159" i="18" s="1"/>
  <c r="X167" i="18"/>
  <c r="X168" i="18" s="1"/>
  <c r="L34" i="18" s="1"/>
  <c r="N64" i="18"/>
  <c r="I142" i="18"/>
  <c r="I143" i="18"/>
  <c r="G143" i="18"/>
  <c r="G301" i="20"/>
  <c r="I302" i="20"/>
  <c r="K302" i="20"/>
  <c r="J302" i="20"/>
  <c r="AM70" i="18"/>
  <c r="AN71" i="18"/>
  <c r="Y162" i="18" l="1"/>
  <c r="Y160" i="18"/>
  <c r="Y161" i="18"/>
  <c r="G144" i="18"/>
  <c r="I144"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4" i="18" l="1"/>
  <c r="B24" i="26"/>
  <c r="B2" i="27" s="1"/>
  <c r="G2" i="26"/>
  <c r="G25" i="26" s="1"/>
  <c r="G84" i="20"/>
  <c r="J85" i="20"/>
  <c r="I85" i="20"/>
  <c r="K85" i="20"/>
  <c r="E48" i="18"/>
  <c r="I2" i="22"/>
  <c r="I25" i="22" s="1"/>
  <c r="I30" i="22" s="1"/>
  <c r="D24" i="22"/>
  <c r="C24" i="23"/>
  <c r="C2" i="24" s="1"/>
  <c r="H2" i="23"/>
  <c r="D2" i="23"/>
  <c r="G5" i="13"/>
  <c r="E4" i="13"/>
  <c r="F79" i="15"/>
  <c r="C49" i="18"/>
  <c r="T115" i="18" l="1"/>
  <c r="T116" i="18" s="1"/>
  <c r="T117" i="18" s="1"/>
  <c r="T118" i="18" s="1"/>
  <c r="W113"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7" i="18" l="1"/>
  <c r="Y117" i="18" s="1"/>
  <c r="X113" i="18"/>
  <c r="Y113"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8" i="18" l="1"/>
  <c r="X117" i="18"/>
  <c r="W114" i="18"/>
  <c r="G2" i="29"/>
  <c r="G25" i="29" s="1"/>
  <c r="B24" i="29"/>
  <c r="B2" i="30" s="1"/>
  <c r="I2" i="25"/>
  <c r="I25" i="25" s="1"/>
  <c r="I30" i="25" s="1"/>
  <c r="D24" i="25"/>
  <c r="C24" i="26"/>
  <c r="C2" i="27" s="1"/>
  <c r="H2" i="26"/>
  <c r="H25" i="26" s="1"/>
  <c r="H30" i="26" s="1"/>
  <c r="D2" i="26"/>
  <c r="G81" i="20"/>
  <c r="K82" i="20"/>
  <c r="I82" i="20"/>
  <c r="J82" i="20"/>
  <c r="F76" i="15"/>
  <c r="C52" i="18"/>
  <c r="E51" i="18"/>
  <c r="X118" i="18" l="1"/>
  <c r="Y118" i="18"/>
  <c r="X114" i="18"/>
  <c r="Y114"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5" i="18" l="1"/>
  <c r="I2" i="48"/>
  <c r="I28" i="48" s="1"/>
  <c r="I33" i="48" s="1"/>
  <c r="D27" i="48"/>
  <c r="B32" i="55"/>
  <c r="B2" i="57" s="1"/>
  <c r="G2" i="55"/>
  <c r="G33" i="55" s="1"/>
  <c r="C27" i="50"/>
  <c r="C2" i="51" s="1"/>
  <c r="H2" i="50"/>
  <c r="H28" i="50" s="1"/>
  <c r="H33" i="50" s="1"/>
  <c r="D2" i="50"/>
  <c r="G68" i="20"/>
  <c r="I69" i="20"/>
  <c r="J69" i="20"/>
  <c r="K69" i="20"/>
  <c r="F63" i="15"/>
  <c r="Y115" i="18" l="1"/>
  <c r="X115"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6" i="18" l="1"/>
  <c r="X116" i="18" s="1"/>
  <c r="H2" i="58"/>
  <c r="H35" i="58" s="1"/>
  <c r="H40" i="58" s="1"/>
  <c r="C34" i="58"/>
  <c r="D2" i="58"/>
  <c r="I2" i="57"/>
  <c r="I35" i="57" s="1"/>
  <c r="I40" i="57" s="1"/>
  <c r="D34" i="57"/>
  <c r="G63" i="20"/>
  <c r="K64" i="20"/>
  <c r="J64" i="20"/>
  <c r="I64" i="20"/>
  <c r="F58" i="15"/>
  <c r="Y116"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9" i="18" l="1"/>
  <c r="G57" i="20"/>
  <c r="I58" i="20"/>
  <c r="J58" i="20"/>
  <c r="K58" i="20"/>
  <c r="F52" i="15"/>
  <c r="T120" i="18" l="1"/>
  <c r="T121" i="18" s="1"/>
  <c r="T122" i="18" s="1"/>
  <c r="W119" i="18"/>
  <c r="G56" i="20"/>
  <c r="K57" i="20"/>
  <c r="J57" i="20"/>
  <c r="I57" i="20"/>
  <c r="F51" i="15"/>
  <c r="Y119" i="18" l="1"/>
  <c r="X119" i="18"/>
  <c r="W120" i="18"/>
  <c r="G55" i="20"/>
  <c r="I56" i="20"/>
  <c r="K56" i="20"/>
  <c r="J56" i="20"/>
  <c r="F50" i="15"/>
  <c r="X120" i="18" l="1"/>
  <c r="Y120"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1" i="18" l="1"/>
  <c r="X121" i="18" s="1"/>
  <c r="G34" i="20"/>
  <c r="J35" i="20"/>
  <c r="K35" i="20"/>
  <c r="I35" i="20"/>
  <c r="F29" i="15"/>
  <c r="Y121"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2" i="18" l="1"/>
  <c r="X122" i="18" s="1"/>
  <c r="T123" i="18"/>
  <c r="T124" i="18" s="1"/>
  <c r="T125" i="18" s="1"/>
  <c r="G19" i="20"/>
  <c r="I20" i="20"/>
  <c r="J20" i="20"/>
  <c r="K20" i="20"/>
  <c r="F14" i="15"/>
  <c r="T126" i="18" l="1"/>
  <c r="Y122" i="18"/>
  <c r="W123" i="18"/>
  <c r="G18" i="20"/>
  <c r="J19" i="20"/>
  <c r="K19" i="20"/>
  <c r="I19" i="20"/>
  <c r="F13" i="15"/>
  <c r="T127" i="18" l="1"/>
  <c r="W127" i="18" s="1"/>
  <c r="X123" i="18"/>
  <c r="Y123" i="18"/>
  <c r="G17" i="20"/>
  <c r="K18" i="20"/>
  <c r="I18" i="20"/>
  <c r="J18" i="20"/>
  <c r="F12" i="15"/>
  <c r="Y127" i="18" l="1"/>
  <c r="X127"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4" i="18" l="1"/>
  <c r="Y124" i="18" s="1"/>
  <c r="G8" i="20"/>
  <c r="J9" i="20"/>
  <c r="K9" i="20"/>
  <c r="I9" i="20"/>
  <c r="F2" i="15"/>
  <c r="F3" i="15"/>
  <c r="X124"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5" i="18" l="1"/>
  <c r="X125" i="18" s="1"/>
  <c r="Y125" i="18" l="1"/>
  <c r="W126" i="18" l="1"/>
  <c r="X126" i="18" s="1"/>
  <c r="Y126" i="18" l="1"/>
</calcChain>
</file>

<file path=xl/sharedStrings.xml><?xml version="1.0" encoding="utf-8"?>
<sst xmlns="http://schemas.openxmlformats.org/spreadsheetml/2006/main" count="17056" uniqueCount="7124">
  <si>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</si>
  <si>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</si>
  <si>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</si>
  <si>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</si>
  <si>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</si>
  <si>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</si>
  <si>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</si>
  <si>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</si>
  <si>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</si>
  <si>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</si>
  <si>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</si>
  <si>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</si>
  <si>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</si>
  <si>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</si>
  <si>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</si>
  <si>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</si>
  <si>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</si>
  <si>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</si>
  <si>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</si>
  <si>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</si>
  <si>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</si>
  <si>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</si>
  <si>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</si>
  <si>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</si>
  <si>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</si>
  <si>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</si>
  <si>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</si>
  <si>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</si>
  <si>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</si>
  <si>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</si>
  <si>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</si>
  <si>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</si>
  <si>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</si>
  <si>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</si>
  <si>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</si>
  <si>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</si>
  <si>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</si>
  <si>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</si>
  <si>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</si>
  <si>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</si>
  <si>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</si>
  <si>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</si>
  <si>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</si>
  <si>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</si>
  <si>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</si>
  <si>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</si>
  <si>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</si>
  <si>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</si>
  <si>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</si>
  <si>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</si>
  <si>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</si>
  <si>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</si>
  <si>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</si>
  <si>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</si>
  <si>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</si>
  <si>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</si>
  <si>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</si>
  <si>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</si>
  <si>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</si>
  <si>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</si>
  <si>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</si>
  <si>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</si>
  <si>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</si>
  <si>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</si>
  <si>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</si>
  <si>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</si>
  <si>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</si>
  <si>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</si>
  <si>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</si>
  <si>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</si>
  <si>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</si>
  <si>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</si>
  <si>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</si>
  <si>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</si>
  <si>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</si>
  <si>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</si>
  <si>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</si>
  <si>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</si>
  <si>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</si>
  <si>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</si>
  <si>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</si>
  <si>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</si>
  <si>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</si>
  <si>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</si>
  <si>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</si>
  <si>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</si>
  <si>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</si>
  <si>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</si>
  <si>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</si>
  <si>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</si>
  <si>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</si>
  <si>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</si>
  <si>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</si>
  <si>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</si>
  <si>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</si>
  <si>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</si>
  <si>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</si>
  <si>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</si>
  <si>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</si>
  <si>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</si>
  <si>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</si>
  <si>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</si>
  <si>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</si>
  <si>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</si>
  <si>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</si>
  <si>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</si>
  <si>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</si>
  <si>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</si>
  <si>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</si>
  <si>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</si>
  <si>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</si>
  <si>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</si>
  <si>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</si>
  <si>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</si>
  <si>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</si>
  <si>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</si>
  <si>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</si>
  <si>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</si>
  <si>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</si>
  <si>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</si>
  <si>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</si>
  <si>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</si>
  <si>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</si>
  <si>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</si>
  <si>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</si>
  <si>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</si>
  <si>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</si>
  <si>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</si>
  <si>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</si>
  <si>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</si>
  <si>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</si>
  <si>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</si>
  <si>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</si>
  <si>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</si>
  <si>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</si>
  <si>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</si>
  <si>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</si>
  <si>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</si>
  <si>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</si>
  <si>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</si>
  <si>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</si>
  <si>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</si>
  <si>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</si>
  <si>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</si>
  <si>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</si>
  <si>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</si>
  <si>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</si>
  <si>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</si>
  <si>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</si>
  <si>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</si>
  <si>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</si>
  <si>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</si>
  <si>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</si>
  <si>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</si>
  <si>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</si>
  <si>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</si>
  <si>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</si>
  <si>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</si>
  <si>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</si>
  <si>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</si>
  <si>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</si>
  <si>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</si>
  <si>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</si>
  <si>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</si>
  <si>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</si>
  <si>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</si>
  <si>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</si>
  <si>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</si>
  <si>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</si>
  <si>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</si>
  <si>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</si>
  <si>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</si>
  <si>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</si>
  <si>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</si>
  <si>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</si>
  <si>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</si>
  <si>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</si>
  <si>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</si>
  <si>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</si>
  <si>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</si>
  <si>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</si>
  <si>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</si>
  <si>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</si>
  <si>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</si>
  <si>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</si>
  <si>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</si>
  <si>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</si>
  <si>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</si>
  <si>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</si>
  <si>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</si>
  <si>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</si>
  <si>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</si>
  <si>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</si>
  <si>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</si>
  <si>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</si>
  <si>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</si>
  <si>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</si>
  <si>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</si>
  <si>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</si>
  <si>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</si>
  <si>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</si>
  <si>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</si>
  <si>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</si>
  <si>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</si>
  <si>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</si>
  <si>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</si>
  <si>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</si>
  <si>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</si>
  <si>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</si>
  <si>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</si>
  <si>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</si>
  <si>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</si>
  <si>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</si>
  <si>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</si>
  <si>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</si>
  <si>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</si>
  <si>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</si>
  <si>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</si>
  <si>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</si>
  <si>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</si>
  <si>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</si>
  <si>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</si>
  <si>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</si>
  <si>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</si>
  <si>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</si>
  <si>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</si>
  <si>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</si>
  <si>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</si>
  <si>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</si>
  <si>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</si>
  <si>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</si>
  <si>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</si>
  <si>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</si>
  <si>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</si>
  <si>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</si>
  <si>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</si>
  <si>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</si>
  <si>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</si>
  <si>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</si>
  <si>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</si>
  <si>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</si>
  <si>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</si>
  <si>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</si>
  <si>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</si>
  <si>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</si>
  <si>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</si>
  <si>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</si>
  <si>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</si>
  <si>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</si>
  <si>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</si>
  <si>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</si>
  <si>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</si>
  <si>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</si>
  <si>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</si>
  <si>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</si>
  <si>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</si>
  <si>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</si>
  <si>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</si>
  <si>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</si>
  <si>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</si>
  <si>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</si>
  <si>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</si>
  <si>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</si>
  <si>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</si>
  <si>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</si>
  <si>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</si>
  <si>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</si>
  <si>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</si>
  <si>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</si>
  <si>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</si>
  <si>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</si>
  <si>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</si>
  <si>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</si>
  <si>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</si>
  <si>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</si>
  <si>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</si>
  <si>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</si>
  <si>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</si>
  <si>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</si>
  <si>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</si>
  <si>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</si>
  <si>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</si>
  <si>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</si>
  <si>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</si>
  <si>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</si>
  <si>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</si>
  <si>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</si>
  <si>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</si>
  <si>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</si>
  <si>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</si>
  <si>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</si>
  <si>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</si>
  <si>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</si>
  <si>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</si>
  <si>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</si>
  <si>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</si>
  <si>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</si>
  <si>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</si>
  <si>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</si>
  <si>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</si>
  <si>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</si>
  <si>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</si>
  <si>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</si>
  <si>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</si>
  <si>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</si>
  <si>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</si>
  <si>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</si>
  <si>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</si>
  <si>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</si>
  <si>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</si>
  <si>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</si>
  <si>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</si>
  <si>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</si>
  <si>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</si>
  <si>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</si>
  <si>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</si>
  <si>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</si>
  <si>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</si>
  <si>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</si>
  <si>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</si>
  <si>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</si>
  <si>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</si>
  <si>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</si>
  <si>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</si>
  <si>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</si>
  <si>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</si>
  <si>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</si>
  <si>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</si>
  <si>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</si>
  <si>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</si>
  <si>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</si>
  <si>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</si>
  <si>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</si>
  <si>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</si>
  <si>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</si>
  <si>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</si>
  <si>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</si>
  <si>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</si>
  <si>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</si>
  <si>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</si>
  <si>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</si>
  <si>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</si>
  <si>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</si>
  <si>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</si>
  <si>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</si>
  <si>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</si>
  <si>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</si>
  <si>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</si>
  <si>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</si>
  <si>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</si>
  <si>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</si>
  <si>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</si>
  <si>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</si>
  <si>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</si>
  <si>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</si>
  <si>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</si>
  <si>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</si>
  <si>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</si>
  <si>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</si>
  <si>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</si>
  <si>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</si>
  <si>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</si>
  <si>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</si>
  <si>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</si>
  <si>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</si>
  <si>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</si>
  <si>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</si>
  <si>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</si>
  <si>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</si>
  <si>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</si>
  <si>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</si>
  <si>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</si>
  <si>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</si>
  <si>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</si>
  <si>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</si>
  <si>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</si>
  <si>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</si>
  <si>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</si>
  <si>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</si>
  <si>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</si>
  <si>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</si>
  <si>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</si>
  <si>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</si>
  <si>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</si>
  <si>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</si>
  <si>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</si>
  <si>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</si>
  <si>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</si>
  <si>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</si>
  <si>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</si>
  <si>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</si>
  <si>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</si>
  <si>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</si>
  <si>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</si>
  <si>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</si>
  <si>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</si>
  <si>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</si>
  <si>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</si>
  <si>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</si>
  <si>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</si>
  <si>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</si>
  <si>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</si>
  <si>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</si>
  <si>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</si>
  <si>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</si>
  <si>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</si>
  <si>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</si>
  <si>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</si>
  <si>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</si>
  <si>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</si>
  <si>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</si>
  <si>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</si>
  <si>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</si>
  <si>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</si>
  <si>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</si>
  <si>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</si>
  <si>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</si>
  <si>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</si>
  <si>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</si>
  <si>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</si>
  <si>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</si>
  <si>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</si>
  <si>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</si>
  <si>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</si>
  <si>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</si>
  <si>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</si>
  <si>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</si>
  <si>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</si>
  <si>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</si>
  <si>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</si>
  <si>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</si>
  <si>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</si>
  <si>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</si>
  <si>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</si>
  <si>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</si>
  <si>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</si>
  <si>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</si>
  <si>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</si>
  <si>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</si>
  <si>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</si>
  <si>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</si>
  <si>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</si>
  <si>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</si>
  <si>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</si>
  <si>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</si>
  <si>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</si>
  <si>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</si>
  <si>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</si>
  <si>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</si>
  <si>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</si>
  <si>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</si>
  <si>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</si>
  <si>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</si>
  <si>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</si>
  <si>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</si>
  <si>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</si>
  <si>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</si>
  <si>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</si>
  <si>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</si>
  <si>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</si>
  <si>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</si>
  <si>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</si>
  <si>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</si>
  <si>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</si>
  <si>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</si>
  <si>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</si>
  <si>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</si>
  <si>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</si>
  <si>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</si>
  <si>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</si>
  <si>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</si>
  <si>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</si>
  <si>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</si>
  <si>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</si>
  <si>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</si>
  <si>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</si>
  <si>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</si>
  <si>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</si>
  <si>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</si>
  <si>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</si>
  <si>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</si>
  <si>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</si>
  <si>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</si>
  <si>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</si>
  <si>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</si>
  <si>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</si>
  <si>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</si>
  <si>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</si>
  <si>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</si>
  <si>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</si>
  <si>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</si>
  <si>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</si>
  <si>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</si>
  <si>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</si>
  <si>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</si>
  <si>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</si>
  <si>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</si>
  <si>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</si>
  <si>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</si>
  <si>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</si>
  <si>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</si>
  <si>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</si>
  <si>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</si>
  <si>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</si>
  <si>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</si>
  <si>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</si>
  <si>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</si>
  <si>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</si>
  <si>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</si>
  <si>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</si>
  <si>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</si>
  <si>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</si>
  <si>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</si>
  <si>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</si>
  <si>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</si>
  <si>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</si>
  <si>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</si>
  <si>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</si>
  <si>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</si>
  <si>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</si>
  <si>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</si>
  <si>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</si>
  <si>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</si>
  <si>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</si>
  <si>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</si>
  <si>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</si>
  <si>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</si>
  <si>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</si>
  <si>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</si>
  <si>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</si>
  <si>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</si>
  <si>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</si>
  <si>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</si>
  <si>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</si>
  <si>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</si>
  <si>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</si>
  <si>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</si>
  <si>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</si>
  <si>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</si>
  <si>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</si>
  <si>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</si>
  <si>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</si>
  <si>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</si>
  <si>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</si>
  <si>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</si>
  <si>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</si>
  <si>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</si>
  <si>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</si>
  <si>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</si>
  <si>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</si>
  <si>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</si>
  <si>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</si>
  <si>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</si>
  <si>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</si>
  <si>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</si>
  <si>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</si>
  <si>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</si>
  <si>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</si>
  <si>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</si>
  <si>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</si>
  <si>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</si>
  <si>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</si>
  <si>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</si>
  <si>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</si>
  <si>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</si>
  <si>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</si>
  <si>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</si>
  <si>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</si>
  <si>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</si>
  <si>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</si>
  <si>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</si>
  <si>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</si>
  <si>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</si>
  <si>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</si>
  <si>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</si>
  <si>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</si>
  <si>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</si>
  <si>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</si>
  <si>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</si>
  <si>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</si>
  <si>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</si>
  <si>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</si>
  <si>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</si>
  <si>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</si>
  <si>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</si>
  <si>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</si>
  <si>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</si>
  <si>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</si>
  <si>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</si>
  <si>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</si>
  <si>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</si>
  <si>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</si>
  <si>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</si>
  <si>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</si>
  <si>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</si>
  <si>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</si>
  <si>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</si>
  <si>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</si>
  <si>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</si>
  <si>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</si>
  <si>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</si>
  <si>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</si>
  <si>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</si>
  <si>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</si>
  <si>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</si>
  <si>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</si>
  <si>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</si>
  <si>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</si>
  <si>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</si>
  <si>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</si>
  <si>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</si>
  <si>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</si>
  <si>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</si>
  <si>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</si>
  <si>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</si>
  <si>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</si>
  <si>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</si>
  <si>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</si>
  <si>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</si>
  <si>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</si>
  <si>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</si>
  <si>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</si>
  <si>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</si>
  <si>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</si>
  <si>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</si>
  <si>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</si>
  <si>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</si>
  <si>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</si>
  <si>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</si>
  <si>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</si>
  <si>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</si>
  <si>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</si>
  <si>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</si>
  <si>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</si>
  <si>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</si>
  <si>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</si>
  <si>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</si>
  <si>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</si>
  <si>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</si>
  <si>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</si>
  <si>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</si>
  <si>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</si>
  <si>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</si>
  <si>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</si>
  <si>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</si>
  <si>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</si>
  <si>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</si>
  <si>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</si>
  <si>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</si>
  <si>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</si>
  <si>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</si>
  <si>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</si>
  <si>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</si>
  <si>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</si>
  <si>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</si>
  <si>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</si>
  <si>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</si>
  <si>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</si>
  <si>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</si>
  <si>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</si>
  <si>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</si>
  <si>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</si>
  <si>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</si>
  <si>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</si>
  <si>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</si>
  <si>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</si>
  <si>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</si>
  <si>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</si>
  <si>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</si>
  <si>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</si>
  <si>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</si>
  <si>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</si>
  <si>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</si>
  <si>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</si>
  <si>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</si>
  <si>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</si>
  <si>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</si>
  <si>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</si>
  <si>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</si>
  <si>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</si>
  <si>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</si>
  <si>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</si>
  <si>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</si>
  <si>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</si>
  <si>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</si>
  <si>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</si>
  <si>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</si>
  <si>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</si>
  <si>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</si>
  <si>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</si>
  <si>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</si>
  <si>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</si>
  <si>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</si>
  <si>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</si>
  <si>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</si>
  <si>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</si>
  <si>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</si>
  <si>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</si>
  <si>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</si>
  <si>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</si>
  <si>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</si>
  <si>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</si>
  <si>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</si>
  <si>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</si>
  <si>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</si>
  <si>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</si>
  <si>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</si>
  <si>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</si>
  <si>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</si>
  <si>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</si>
  <si>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</si>
  <si>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</si>
  <si>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</si>
  <si>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</si>
  <si>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</si>
  <si>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</si>
  <si>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</si>
  <si>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</si>
  <si>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</si>
  <si>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</si>
  <si>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</si>
  <si>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</si>
  <si>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</si>
  <si>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</si>
  <si>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</si>
  <si>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</si>
  <si>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</si>
  <si>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</si>
  <si>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</si>
  <si>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</si>
  <si>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</si>
  <si>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</si>
  <si>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</si>
  <si>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</si>
  <si>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</si>
  <si>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</si>
  <si>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</si>
  <si>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</si>
  <si>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</si>
  <si>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</si>
  <si>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</si>
  <si>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</si>
  <si>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</si>
  <si>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</si>
  <si>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</si>
  <si>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</si>
  <si>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</si>
  <si>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</si>
  <si>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</si>
  <si>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</si>
  <si>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</si>
  <si>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</si>
  <si>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</si>
  <si>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</si>
  <si>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</si>
  <si>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</si>
  <si>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</si>
  <si>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</si>
  <si>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</si>
  <si>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</si>
  <si>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</si>
  <si>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</si>
  <si>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</si>
  <si>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</si>
  <si>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</si>
  <si>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</si>
  <si>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</si>
  <si>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</si>
  <si>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</si>
  <si>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</si>
  <si>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</si>
  <si>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</si>
  <si>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</si>
  <si>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</si>
  <si>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</si>
  <si>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</si>
  <si>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</si>
  <si>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</si>
  <si>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</si>
  <si>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</si>
  <si>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</si>
  <si>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</si>
  <si>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</si>
  <si>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</si>
  <si>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</si>
  <si>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</si>
  <si>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</si>
  <si>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</si>
  <si>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</si>
  <si>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</si>
  <si>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</si>
  <si>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</si>
  <si>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</si>
  <si>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</si>
  <si>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</si>
  <si>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</si>
  <si>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</si>
  <si>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</si>
  <si>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</si>
  <si>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</si>
  <si>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</si>
  <si>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</si>
  <si>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</si>
  <si>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</si>
  <si>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</si>
  <si>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</si>
  <si>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</si>
  <si>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</si>
  <si>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</si>
  <si>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</si>
  <si>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</si>
  <si>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</si>
  <si>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</si>
  <si>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</si>
  <si>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</si>
  <si>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</si>
  <si>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</si>
  <si>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</si>
  <si>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</si>
  <si>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</si>
  <si>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</si>
  <si>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</si>
  <si>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</si>
  <si>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</si>
  <si>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</si>
  <si>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</si>
  <si>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</si>
  <si>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</si>
  <si>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</si>
  <si>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</si>
  <si>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</si>
  <si>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</si>
  <si>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</si>
  <si>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</si>
  <si>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</si>
  <si>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</si>
  <si>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</si>
  <si>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</si>
  <si>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</si>
  <si>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</si>
  <si>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</si>
  <si>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</si>
  <si>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</si>
  <si>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</si>
  <si>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</si>
  <si>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</si>
  <si>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</si>
  <si>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</si>
  <si>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</si>
  <si>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</si>
  <si>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</si>
  <si>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</si>
  <si>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</si>
  <si>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</si>
  <si>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</si>
  <si>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</si>
  <si>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</si>
  <si>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</si>
  <si>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</si>
  <si>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</si>
  <si>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</si>
  <si>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</si>
  <si>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</si>
  <si>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</si>
  <si>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</si>
  <si>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</si>
  <si>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</si>
  <si>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</si>
  <si>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</si>
  <si>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</si>
  <si>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</si>
  <si>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</si>
  <si>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</si>
  <si>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</si>
  <si>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</si>
  <si>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</si>
  <si>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</si>
  <si>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</si>
  <si>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</si>
  <si>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</si>
  <si>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</si>
  <si>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</si>
  <si>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</si>
  <si>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</si>
  <si>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</si>
  <si>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</si>
  <si>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</si>
  <si>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</si>
  <si>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</si>
  <si>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</si>
  <si>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</si>
  <si>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</si>
  <si>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</si>
  <si>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</si>
  <si>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</si>
  <si>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</si>
  <si>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</si>
  <si>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</si>
  <si>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</si>
  <si>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</si>
  <si>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</si>
  <si>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</si>
  <si>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</si>
  <si>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</si>
  <si>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</si>
  <si>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</si>
  <si>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</si>
  <si>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</si>
  <si>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</si>
  <si>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</si>
  <si>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</si>
  <si>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</si>
  <si>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</si>
  <si>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</si>
  <si>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</si>
  <si>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</si>
  <si>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</si>
  <si>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</si>
  <si>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</si>
  <si>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</si>
  <si>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</si>
  <si>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</si>
  <si>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</si>
  <si>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</si>
  <si>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</si>
  <si>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</si>
  <si>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</si>
  <si>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</si>
  <si>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</si>
  <si>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</si>
  <si>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</si>
  <si>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</si>
  <si>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</si>
  <si>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</si>
  <si>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</si>
  <si>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</si>
  <si>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</si>
  <si>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</si>
  <si>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</si>
  <si>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</si>
  <si>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</si>
  <si>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</si>
  <si>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</si>
  <si>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</si>
  <si>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</si>
  <si>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</si>
  <si>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</si>
  <si>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</si>
  <si>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</si>
  <si>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</si>
  <si>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</si>
  <si>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</si>
  <si>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</si>
  <si>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</si>
  <si>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</si>
  <si>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</si>
  <si>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</si>
  <si>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</si>
  <si>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</si>
  <si>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</si>
  <si>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</si>
  <si>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</si>
  <si>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</si>
  <si>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</si>
  <si>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</si>
  <si>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</si>
  <si>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</si>
  <si>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</si>
  <si>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</si>
  <si>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</si>
  <si>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</si>
  <si>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</si>
  <si>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</si>
  <si>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</si>
  <si>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</si>
  <si>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</si>
  <si>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</si>
  <si>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</si>
  <si>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</si>
  <si>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</si>
  <si>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</si>
  <si>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</si>
  <si>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</si>
  <si>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</si>
  <si>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</si>
  <si>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</si>
  <si>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</si>
  <si>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</si>
  <si>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</si>
  <si>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</si>
  <si>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</si>
  <si>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</si>
  <si>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</si>
  <si>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</si>
  <si>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</si>
  <si>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</si>
  <si>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</si>
  <si>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</si>
  <si>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</si>
  <si>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</si>
  <si>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</si>
  <si>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</si>
  <si>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</si>
  <si>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</si>
  <si>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</si>
  <si>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</si>
  <si>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</si>
  <si>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</si>
  <si>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</si>
  <si>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</si>
  <si>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</si>
  <si>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</si>
  <si>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</si>
  <si>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</si>
  <si>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</si>
  <si>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</si>
  <si>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</si>
  <si>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</si>
  <si>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</si>
  <si>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</si>
  <si>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</si>
  <si>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</si>
  <si>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</si>
  <si>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</si>
  <si>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</si>
  <si>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</si>
  <si>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</si>
  <si>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</si>
  <si>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</si>
  <si>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</si>
  <si>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</si>
  <si>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</si>
  <si>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</si>
  <si>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</si>
  <si>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</si>
  <si>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</si>
  <si>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</si>
  <si>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</si>
  <si>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</si>
  <si>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</si>
  <si>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</si>
  <si>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</si>
  <si>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</si>
  <si>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</si>
  <si>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</si>
  <si>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</si>
  <si>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</si>
  <si>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</si>
  <si>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</si>
  <si>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</si>
  <si>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</si>
  <si>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</si>
  <si>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</si>
  <si>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</si>
  <si>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</si>
  <si>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</si>
  <si>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</si>
  <si>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</si>
  <si>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</si>
  <si>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</si>
  <si>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</si>
  <si>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</si>
  <si>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</si>
  <si>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</si>
  <si>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</si>
  <si>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</si>
  <si>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</si>
  <si>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</si>
  <si>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</si>
  <si>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</si>
  <si>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</si>
  <si>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</si>
  <si>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</si>
  <si>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</si>
  <si>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</si>
  <si>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</si>
  <si>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</si>
  <si>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</si>
  <si>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</si>
  <si>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</si>
  <si>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</si>
  <si>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</si>
  <si>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</si>
  <si>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</si>
  <si>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</si>
  <si>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</si>
  <si>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</si>
  <si>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</si>
  <si>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</si>
  <si>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</si>
  <si>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</si>
  <si>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</si>
  <si>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</si>
  <si>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</si>
  <si>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</si>
  <si>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</si>
  <si>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</si>
  <si>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</si>
  <si>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</si>
  <si>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</si>
  <si>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</si>
  <si>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</si>
  <si>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</si>
  <si>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</si>
  <si>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</si>
  <si>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</si>
  <si>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</si>
  <si>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</si>
  <si>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</si>
  <si>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</si>
  <si>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</si>
  <si>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</si>
  <si>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</si>
  <si>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</si>
  <si>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</si>
  <si>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</si>
  <si>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</si>
  <si>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</si>
  <si>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</si>
  <si>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</si>
  <si>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</si>
  <si>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</si>
  <si>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</si>
  <si>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</si>
  <si>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</si>
  <si>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</si>
  <si>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</si>
  <si>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</si>
  <si>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</si>
  <si>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</si>
  <si>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</si>
  <si>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</si>
  <si>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</si>
  <si>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</si>
  <si>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</si>
  <si>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</si>
  <si>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</si>
  <si>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</si>
  <si>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</si>
  <si>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</si>
  <si>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</si>
  <si>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</si>
  <si>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</si>
  <si>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</si>
  <si>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</si>
  <si>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</si>
  <si>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</si>
  <si>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</si>
  <si>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</si>
  <si>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</si>
  <si>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</si>
  <si>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</si>
  <si>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</si>
  <si>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</si>
  <si>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</si>
  <si>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</si>
  <si>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</si>
  <si>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</si>
  <si>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</si>
  <si>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</si>
  <si>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</si>
  <si>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</si>
  <si>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</si>
  <si>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</si>
  <si>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</si>
  <si>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</si>
  <si>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</si>
  <si>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</si>
  <si>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</si>
  <si>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</si>
  <si>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</si>
  <si>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</si>
  <si>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</si>
  <si>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</si>
  <si>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</si>
  <si>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</si>
  <si>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</si>
  <si>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</si>
  <si>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</si>
  <si>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</si>
  <si>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</si>
  <si>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</si>
  <si>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</si>
  <si>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</si>
  <si>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</si>
  <si>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</si>
  <si>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</si>
  <si>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</si>
  <si>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</si>
  <si>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</si>
  <si>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</si>
  <si>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</si>
  <si>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</si>
  <si>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</si>
  <si>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</si>
  <si>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</si>
  <si>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</si>
  <si>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</si>
  <si>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</si>
  <si>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</si>
  <si>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</si>
  <si>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</si>
  <si>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</si>
  <si>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</si>
  <si>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</si>
  <si>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</si>
  <si>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</si>
  <si>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</si>
  <si>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</si>
  <si>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</si>
  <si>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</si>
  <si>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</si>
  <si>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</si>
  <si>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</si>
  <si>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</si>
  <si>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</si>
  <si>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</si>
  <si>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</si>
  <si>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</si>
  <si>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</si>
  <si>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</si>
  <si>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</si>
  <si>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</si>
  <si>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</si>
  <si>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</si>
  <si>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</si>
  <si>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</si>
  <si>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</si>
  <si>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</si>
  <si>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</si>
  <si>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</si>
  <si>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</si>
  <si>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</si>
  <si>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</si>
  <si>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</si>
  <si>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</si>
  <si>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</si>
  <si>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</si>
  <si>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</si>
  <si>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</si>
  <si>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</si>
  <si>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</si>
  <si>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</si>
  <si>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</si>
  <si>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</si>
  <si>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</si>
  <si>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</si>
  <si>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</si>
  <si>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</si>
  <si>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</si>
  <si>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</si>
  <si>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</si>
  <si>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</si>
  <si>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</si>
  <si>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</si>
  <si>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</si>
  <si>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</si>
  <si>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</si>
  <si>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</si>
  <si>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</si>
  <si>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</si>
  <si>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</si>
  <si>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</si>
  <si>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</si>
  <si>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</si>
  <si>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</si>
  <si>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</si>
  <si>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</si>
  <si>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</si>
  <si>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</si>
  <si>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</si>
  <si>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</si>
  <si>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</si>
  <si>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</si>
  <si>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</si>
  <si>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</si>
  <si>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</si>
  <si>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</si>
  <si>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</si>
  <si>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</si>
  <si>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</si>
  <si>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</si>
  <si>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</si>
  <si>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</si>
  <si>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</si>
  <si>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</si>
  <si>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</si>
  <si>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</si>
  <si>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</si>
  <si>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</si>
  <si>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</si>
  <si>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</si>
  <si>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</si>
  <si>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</si>
  <si>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</si>
  <si>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</si>
  <si>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</si>
  <si>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</si>
  <si>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</si>
  <si>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</si>
  <si>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</si>
  <si>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</si>
  <si>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</si>
  <si>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</si>
  <si>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</si>
  <si>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</si>
  <si>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</si>
  <si>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</si>
  <si>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</si>
  <si>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</si>
  <si>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</si>
  <si>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</si>
  <si>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</si>
  <si>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</si>
  <si>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</si>
  <si>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</si>
  <si>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</si>
  <si>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</si>
  <si>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</si>
  <si>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</si>
  <si>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</si>
  <si>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</si>
  <si>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</si>
  <si>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</si>
  <si>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</si>
  <si>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</si>
  <si>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</si>
  <si>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</si>
  <si>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</si>
  <si>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</si>
  <si>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</si>
  <si>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</si>
  <si>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</si>
  <si>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</si>
  <si>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</si>
  <si>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</si>
  <si>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</si>
  <si>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</si>
  <si>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</si>
  <si>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</si>
  <si>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</si>
  <si>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</si>
  <si>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</si>
  <si>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</si>
  <si>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</si>
  <si>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</si>
  <si>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</si>
  <si>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</si>
  <si>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</si>
  <si>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</si>
  <si>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</si>
  <si>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</si>
  <si>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</si>
  <si>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</si>
  <si>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</si>
  <si>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</si>
  <si>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</si>
  <si>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</si>
  <si>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</si>
  <si>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</si>
  <si>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</si>
  <si>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</si>
  <si>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</si>
  <si>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</si>
  <si>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</si>
  <si>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</si>
  <si>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</si>
  <si>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</si>
  <si>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</si>
  <si>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</si>
  <si>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</si>
  <si>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</si>
  <si>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</si>
  <si>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</si>
  <si>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</si>
  <si>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</si>
  <si>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</si>
  <si>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</si>
  <si>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</si>
  <si>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</si>
  <si>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</si>
  <si>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</si>
  <si>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</si>
  <si>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</si>
  <si>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</si>
  <si>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</si>
  <si>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</si>
  <si>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</si>
  <si>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</si>
  <si>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</si>
  <si>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</si>
  <si>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</si>
  <si>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</si>
  <si>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</si>
  <si>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</si>
  <si>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</si>
  <si>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</si>
  <si>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</si>
  <si>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</si>
  <si>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</si>
  <si>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</si>
  <si>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</si>
  <si>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</si>
  <si>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</si>
  <si>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</si>
  <si>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</si>
  <si>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</si>
  <si>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</si>
  <si>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</si>
  <si>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</si>
  <si>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</si>
  <si>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</si>
  <si>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</si>
  <si>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</si>
  <si>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</si>
  <si>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</si>
  <si>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</si>
  <si>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</si>
  <si>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</si>
  <si>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</si>
  <si>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</si>
  <si>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</si>
  <si>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</si>
  <si>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</si>
  <si>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</si>
  <si>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</si>
  <si>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</si>
  <si>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</si>
  <si>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</si>
  <si>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</si>
  <si>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</si>
  <si>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</si>
  <si>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</si>
  <si>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</si>
  <si>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</si>
  <si>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</si>
  <si>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</si>
  <si>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</si>
  <si>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</si>
  <si>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</si>
  <si>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</si>
  <si>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</si>
  <si>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</si>
  <si>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</si>
  <si>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</si>
  <si>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</si>
  <si>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</si>
  <si>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</si>
  <si>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</si>
  <si>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</si>
  <si>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</si>
  <si>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</si>
  <si>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</si>
  <si>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</si>
  <si>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</si>
  <si>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</si>
  <si>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</si>
  <si>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</si>
  <si>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</si>
  <si>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</si>
  <si>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</si>
  <si>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</si>
  <si>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</si>
  <si>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</si>
  <si>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</si>
  <si>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</si>
  <si>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</si>
  <si>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</si>
  <si>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</si>
  <si>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</si>
  <si>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</si>
  <si>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</si>
  <si>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</si>
  <si>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</si>
  <si>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</si>
  <si>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</si>
  <si>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</si>
  <si>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</si>
  <si>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</si>
  <si>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</si>
  <si>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</si>
  <si>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</si>
  <si>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</si>
  <si>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</si>
  <si>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</si>
  <si>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</si>
  <si>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</si>
  <si>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</si>
  <si>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</si>
  <si>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</si>
  <si>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</si>
  <si>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</si>
  <si>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</si>
  <si>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</si>
  <si>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</si>
  <si>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</si>
  <si>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</si>
  <si>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</si>
  <si>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</si>
  <si>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</si>
  <si>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</si>
  <si>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</si>
  <si>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</si>
  <si>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</si>
  <si>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</si>
  <si>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</si>
  <si>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</si>
  <si>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</si>
  <si>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</si>
  <si>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</si>
  <si>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</si>
  <si>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</si>
  <si>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</si>
  <si>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</si>
  <si>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</si>
  <si>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</si>
  <si>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</si>
  <si>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</si>
  <si>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</si>
  <si>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</si>
  <si>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</si>
  <si>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</si>
  <si>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</si>
  <si>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</si>
  <si>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</si>
  <si>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</si>
  <si>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</si>
  <si>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</si>
  <si>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</si>
  <si>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</si>
  <si>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</si>
  <si>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</si>
  <si>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</si>
  <si>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</si>
  <si>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</si>
  <si>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</si>
  <si>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</si>
  <si>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</si>
  <si>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</si>
  <si>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</si>
  <si>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</si>
  <si>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</si>
  <si>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</si>
  <si>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</si>
  <si>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</si>
  <si>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</si>
  <si>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</si>
  <si>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</si>
  <si>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</si>
  <si>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</si>
  <si>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</si>
  <si>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</si>
  <si>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</si>
  <si>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</si>
  <si>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</si>
  <si>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</si>
  <si>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</si>
  <si>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</si>
  <si>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</si>
  <si>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</si>
  <si>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</si>
  <si>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</si>
  <si>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</si>
  <si>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</si>
  <si>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</si>
  <si>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</si>
  <si>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</si>
  <si>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</si>
  <si>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</si>
  <si>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</si>
  <si>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</si>
  <si>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</si>
  <si>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</si>
  <si>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</si>
  <si>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</si>
  <si>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</si>
  <si>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</si>
  <si>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</si>
  <si>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</si>
  <si>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</si>
  <si>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</si>
  <si>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</si>
  <si>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</si>
  <si>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</si>
  <si>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</si>
  <si>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</si>
  <si>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</si>
  <si>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</si>
  <si>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</si>
  <si>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</si>
  <si>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</si>
  <si>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</si>
  <si>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</si>
  <si>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</si>
  <si>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</si>
  <si>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</si>
  <si>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</si>
  <si>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</si>
  <si>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</si>
  <si>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</si>
  <si>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</si>
  <si>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</si>
  <si>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</si>
  <si>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</si>
  <si>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</si>
  <si>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</si>
  <si>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</si>
  <si>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</si>
  <si>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</si>
  <si>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</si>
  <si>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</si>
  <si>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</si>
  <si>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</si>
  <si>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</si>
  <si>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</si>
  <si>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</si>
  <si>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</si>
  <si>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</si>
  <si>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</si>
  <si>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</si>
  <si>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</si>
  <si>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</si>
  <si>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</si>
  <si>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</si>
  <si>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</si>
  <si>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</si>
  <si>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</si>
  <si>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</si>
  <si>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</si>
  <si>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</si>
  <si>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</si>
  <si>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</si>
  <si>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</si>
  <si>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</si>
  <si>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</si>
  <si>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</si>
  <si>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</si>
  <si>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</si>
  <si>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</si>
  <si>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</si>
  <si>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</si>
  <si>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</si>
  <si>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</si>
  <si>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</si>
  <si>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</si>
  <si>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</si>
  <si>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</si>
  <si>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</si>
  <si>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</si>
  <si>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</si>
  <si>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</si>
  <si>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</si>
  <si>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</si>
  <si>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</si>
  <si>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</si>
  <si>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</si>
  <si>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</si>
  <si>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</si>
  <si>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</si>
  <si>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</si>
  <si>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</si>
  <si>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</si>
  <si>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</si>
  <si>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</si>
  <si>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</si>
  <si>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</si>
  <si>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</si>
  <si>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</si>
  <si>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</si>
  <si>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</si>
  <si>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</si>
  <si>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</si>
  <si>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</si>
  <si>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</si>
  <si>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</si>
  <si>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</si>
  <si>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</si>
  <si>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</si>
  <si>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</si>
  <si>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</si>
  <si>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</si>
  <si>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</si>
  <si>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</si>
  <si>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</si>
  <si>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</si>
  <si>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</si>
  <si>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</si>
  <si>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</si>
  <si>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</si>
  <si>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</si>
  <si>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</si>
  <si>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</si>
  <si>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</si>
  <si>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</si>
  <si>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</si>
  <si>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</si>
  <si>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</si>
  <si>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</si>
  <si>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</si>
  <si>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</si>
  <si>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</si>
  <si>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</si>
  <si>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</si>
  <si>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</si>
  <si>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</si>
  <si>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</si>
  <si>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</si>
  <si>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</si>
  <si>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</si>
  <si>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</si>
  <si>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</si>
  <si>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</si>
  <si>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</si>
  <si>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</si>
  <si>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</si>
  <si>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</si>
  <si>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</si>
  <si>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</si>
  <si>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</si>
  <si>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</si>
  <si>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</si>
  <si>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</si>
  <si>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</si>
  <si>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</si>
  <si>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</si>
  <si>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</si>
  <si>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</si>
  <si>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</si>
  <si>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</si>
  <si>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</si>
  <si>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</si>
  <si>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</si>
  <si>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</si>
  <si>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</si>
  <si>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</si>
  <si>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</si>
  <si>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</si>
  <si>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</si>
  <si>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</si>
  <si>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</si>
  <si>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</si>
  <si>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</si>
  <si>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</si>
  <si>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</si>
  <si>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</si>
  <si>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</si>
  <si>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</si>
  <si>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</si>
  <si>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</si>
  <si>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</si>
  <si>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</si>
  <si>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</si>
  <si>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</si>
  <si>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</si>
  <si>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</si>
  <si>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</si>
  <si>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</si>
  <si>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</si>
  <si>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</si>
  <si>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</si>
  <si>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</si>
  <si>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</si>
  <si>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</si>
  <si>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</si>
  <si>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</si>
  <si>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</si>
  <si>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</si>
  <si>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</si>
  <si>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</si>
  <si>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</si>
  <si>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</si>
  <si>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</si>
  <si>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</si>
  <si>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</si>
  <si>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</si>
  <si>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</si>
  <si>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</si>
  <si>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</si>
  <si>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</si>
  <si>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</si>
  <si>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</si>
  <si>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</si>
  <si>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</si>
  <si>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</si>
  <si>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</si>
  <si>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</si>
  <si>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</si>
  <si>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</si>
  <si>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</si>
  <si>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</si>
  <si>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</si>
  <si>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</si>
  <si>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</si>
  <si>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</si>
  <si>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</si>
  <si>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</si>
  <si>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</si>
  <si>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</si>
  <si>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</si>
  <si>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</si>
  <si>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</si>
  <si>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</si>
  <si>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</si>
  <si>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</si>
  <si>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</si>
  <si>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</si>
  <si>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</si>
  <si>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</si>
  <si>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</si>
  <si>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</si>
  <si>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</si>
  <si>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</si>
  <si>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</si>
  <si>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</si>
  <si>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</si>
  <si>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</si>
  <si>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</si>
  <si>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</si>
  <si>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</si>
  <si>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</si>
  <si>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</si>
  <si>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</si>
  <si>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</si>
  <si>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</si>
  <si>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</si>
  <si>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</si>
  <si>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</si>
  <si>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</si>
  <si>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</si>
  <si>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</si>
  <si>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</si>
  <si>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</si>
  <si>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</si>
  <si>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</si>
  <si>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</si>
  <si>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</si>
  <si>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</si>
  <si>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</si>
  <si>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</si>
  <si>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</si>
  <si>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</si>
  <si>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</si>
  <si>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</si>
  <si>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</si>
  <si>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</si>
  <si>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</si>
  <si>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</si>
  <si>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</si>
  <si>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</si>
  <si>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</si>
  <si>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</si>
  <si>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</si>
  <si>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</si>
  <si>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</si>
  <si>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</si>
  <si>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</si>
  <si>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</si>
  <si>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</si>
  <si>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</si>
  <si>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</si>
  <si>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</si>
  <si>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</si>
  <si>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</si>
  <si>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</si>
  <si>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</si>
  <si>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</si>
  <si>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</si>
  <si>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</si>
  <si>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</si>
  <si>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</si>
  <si>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</si>
  <si>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</si>
  <si>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</si>
  <si>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</si>
  <si>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</si>
  <si>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</si>
  <si>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</si>
  <si>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</si>
  <si>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</si>
  <si>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</si>
  <si>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</si>
  <si>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</si>
  <si>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</si>
  <si>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</si>
  <si>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</si>
  <si>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</si>
  <si>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</si>
  <si>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</si>
  <si>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</si>
  <si>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</si>
  <si>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</si>
  <si>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</si>
  <si>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</si>
  <si>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</si>
  <si>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</si>
  <si>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</si>
  <si>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</si>
  <si>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</si>
  <si>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</si>
  <si>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</si>
  <si>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</si>
  <si>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</si>
  <si>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</si>
  <si>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</si>
  <si>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</si>
  <si>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</si>
  <si>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</si>
  <si>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</si>
  <si>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</si>
  <si>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</si>
  <si>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</si>
  <si>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</si>
  <si>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</si>
  <si>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</si>
  <si>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</si>
  <si>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</si>
  <si>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</si>
  <si>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</si>
  <si>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</si>
  <si>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</si>
  <si>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</si>
  <si>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</si>
  <si>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</si>
  <si>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</si>
  <si>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</si>
  <si>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</si>
  <si>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</si>
  <si>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</si>
  <si>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</si>
  <si>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</si>
  <si>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</si>
  <si>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</si>
  <si>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</si>
  <si>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</si>
  <si>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</si>
  <si>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</si>
  <si>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</si>
  <si>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</si>
  <si>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</si>
  <si>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</si>
  <si>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</si>
  <si>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</si>
  <si>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</si>
  <si>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</si>
  <si>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</si>
  <si>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</si>
  <si>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</si>
  <si>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</si>
  <si>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</si>
  <si>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</si>
  <si>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</si>
  <si>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</si>
  <si>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</si>
  <si>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</si>
  <si>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</si>
  <si>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</si>
  <si>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</si>
  <si>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</si>
  <si>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</si>
  <si>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</si>
  <si>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</si>
  <si>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</si>
  <si>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</si>
  <si>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</si>
  <si>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</si>
  <si>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</si>
  <si>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</si>
  <si>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</si>
  <si>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</si>
  <si>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</si>
  <si>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</si>
  <si>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</si>
  <si>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</si>
  <si>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</si>
  <si>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</si>
  <si>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</si>
  <si>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</si>
  <si>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</si>
  <si>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</si>
  <si>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</si>
  <si>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</si>
  <si>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</si>
  <si>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</si>
  <si>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</si>
  <si>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</si>
  <si>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</si>
  <si>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</si>
  <si>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</si>
  <si>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</si>
  <si>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</si>
  <si>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</si>
  <si>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</si>
  <si>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</si>
  <si>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</si>
  <si>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</si>
  <si>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</si>
  <si>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</si>
  <si>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</si>
  <si>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</si>
  <si>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</si>
  <si>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</si>
  <si>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</si>
  <si>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</si>
  <si>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</si>
  <si>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</si>
  <si>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</si>
  <si>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</si>
  <si>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</si>
  <si>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</si>
  <si>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</si>
  <si>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</si>
  <si>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</si>
  <si>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</si>
  <si>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</si>
  <si>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</si>
  <si>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</si>
  <si>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</si>
  <si>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</si>
  <si>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</si>
  <si>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</si>
  <si>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</si>
  <si>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</si>
  <si>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</si>
  <si>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</si>
  <si>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</si>
  <si>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</si>
  <si>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</si>
  <si>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</si>
  <si>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</si>
  <si>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</si>
  <si>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</si>
  <si>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</si>
  <si>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</si>
  <si>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</si>
  <si>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</si>
  <si>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</si>
  <si>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</si>
  <si>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</si>
  <si>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</si>
  <si>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</si>
  <si>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</si>
  <si>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</si>
  <si>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</si>
  <si>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</si>
  <si>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</si>
  <si>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</si>
  <si>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</si>
  <si>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</si>
  <si>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</si>
  <si>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</si>
  <si>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</si>
  <si>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</si>
  <si>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</si>
  <si>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</si>
  <si>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</si>
  <si>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</si>
  <si>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</si>
  <si>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</si>
  <si>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</si>
  <si>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</si>
  <si>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</si>
  <si>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</si>
  <si>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</si>
  <si>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</si>
  <si>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</si>
  <si>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</si>
  <si>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</si>
  <si>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</si>
  <si>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</si>
  <si>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</si>
  <si>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</si>
  <si>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</si>
  <si>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</si>
  <si>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</si>
  <si>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</si>
  <si>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</si>
  <si>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</si>
  <si>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</si>
  <si>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</si>
  <si>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</si>
  <si>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</si>
  <si>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</si>
  <si>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</si>
  <si>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</si>
  <si>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</si>
  <si>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</si>
  <si>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</si>
  <si>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</si>
  <si>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</si>
  <si>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</si>
  <si>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</si>
  <si>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</si>
  <si>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</si>
  <si>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</si>
  <si>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</si>
  <si>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</si>
  <si>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</si>
  <si>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</si>
  <si>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</si>
  <si>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</si>
  <si>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</si>
  <si>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</si>
  <si>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</si>
  <si>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</si>
  <si>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</si>
  <si>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</si>
  <si>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</si>
  <si>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</si>
  <si>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</si>
  <si>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</si>
  <si>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</si>
  <si>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</si>
  <si>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</si>
  <si>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</si>
  <si>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</si>
  <si>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</si>
  <si>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</si>
  <si>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</si>
  <si>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</si>
  <si>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</si>
  <si>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</si>
  <si>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</si>
  <si>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</si>
  <si>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</si>
  <si>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</si>
  <si>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</si>
  <si>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</si>
  <si>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</si>
  <si>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</si>
  <si>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</si>
  <si>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</si>
  <si>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</si>
  <si>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</si>
  <si>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</si>
  <si>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</si>
  <si>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</si>
  <si>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</si>
  <si>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</si>
  <si>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</si>
  <si>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</si>
  <si>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</si>
  <si>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</si>
  <si>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</si>
  <si>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</si>
  <si>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</si>
  <si>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</si>
  <si>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</si>
  <si>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</si>
  <si>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</si>
  <si>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</si>
  <si>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</si>
  <si>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</si>
  <si>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</si>
  <si>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</si>
  <si>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</si>
  <si>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</si>
  <si>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</si>
  <si>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</si>
  <si>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</si>
  <si>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</si>
  <si>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</si>
  <si>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</si>
  <si>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</si>
  <si>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</si>
  <si>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</si>
  <si>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</si>
  <si>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</si>
  <si>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</si>
  <si>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</si>
  <si>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</si>
  <si>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</si>
  <si>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</si>
  <si>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</si>
  <si>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</si>
  <si>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</si>
  <si>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</si>
  <si>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</si>
  <si>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</si>
  <si>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</si>
  <si>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</si>
  <si>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</si>
  <si>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</si>
  <si>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</si>
  <si>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</si>
  <si>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</si>
  <si>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</si>
  <si>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</si>
  <si>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</si>
  <si>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</si>
  <si>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</si>
  <si>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</si>
  <si>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</si>
  <si>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</si>
  <si>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</si>
  <si>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</si>
  <si>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</si>
  <si>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</si>
  <si>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</si>
  <si>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</si>
  <si>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</si>
  <si>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</si>
  <si>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</si>
  <si>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</si>
  <si>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</si>
  <si>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</si>
  <si>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</si>
  <si>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</si>
  <si>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</si>
  <si>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</si>
  <si>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</si>
  <si>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</si>
  <si>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</si>
  <si>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</si>
  <si>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</si>
  <si>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</si>
  <si>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</si>
  <si>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</si>
  <si>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</si>
  <si>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</si>
  <si>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</si>
  <si>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</si>
  <si>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</si>
  <si>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</si>
  <si>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</si>
  <si>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</si>
  <si>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</si>
  <si>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</si>
  <si>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</si>
  <si>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</si>
  <si>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</si>
  <si>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</si>
  <si>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</si>
  <si>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</si>
  <si>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</si>
  <si>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</si>
  <si>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</si>
  <si>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</si>
  <si>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</si>
  <si>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</si>
  <si>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</si>
  <si>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</si>
  <si>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</si>
  <si>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</si>
  <si>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</si>
  <si>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</si>
  <si>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</si>
  <si>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</si>
  <si>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</si>
  <si>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</si>
  <si>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</si>
  <si>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</si>
  <si>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</si>
  <si>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</si>
  <si>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</si>
  <si>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</si>
  <si>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</si>
  <si>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</si>
  <si>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</si>
  <si>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</si>
  <si>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</si>
  <si>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</si>
  <si>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</si>
  <si>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</si>
  <si>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</si>
  <si>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</si>
  <si>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</si>
  <si>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</si>
  <si>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</si>
  <si>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</si>
  <si>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</si>
  <si>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</si>
  <si>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</si>
  <si>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</si>
  <si>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</si>
  <si>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</si>
  <si>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</si>
  <si>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</si>
  <si>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</si>
  <si>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</si>
  <si>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</si>
  <si>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</si>
  <si>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</si>
  <si>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</si>
  <si>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</si>
  <si>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</si>
  <si>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</si>
  <si>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</si>
  <si>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</si>
  <si>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</si>
  <si>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</si>
  <si>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</si>
  <si>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</si>
  <si>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</si>
  <si>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</si>
  <si>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</si>
  <si>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</si>
  <si>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</si>
  <si>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</si>
  <si>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</si>
  <si>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</si>
  <si>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</si>
  <si>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</si>
  <si>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</si>
  <si>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</si>
  <si>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</si>
  <si>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</si>
  <si>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</si>
  <si>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</si>
  <si>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</si>
  <si>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</si>
  <si>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</si>
  <si>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</si>
  <si>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</si>
  <si>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</si>
  <si>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</si>
  <si>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</si>
  <si>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</si>
  <si>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</si>
  <si>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</si>
  <si>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</si>
  <si>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</si>
  <si>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</si>
  <si>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</si>
  <si>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</si>
  <si>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</si>
  <si>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</si>
  <si>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</si>
  <si>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</si>
  <si>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</si>
  <si>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</si>
  <si>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</si>
  <si>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</si>
  <si>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</si>
  <si>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</si>
  <si>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</si>
  <si>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</si>
  <si>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</si>
  <si>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</si>
  <si>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</si>
  <si>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</si>
  <si>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</si>
  <si>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</si>
  <si>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</si>
  <si>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</si>
  <si>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</si>
  <si>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</si>
  <si>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</si>
  <si>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</si>
  <si>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</si>
  <si>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</si>
  <si>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</si>
  <si>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</si>
  <si>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</si>
  <si>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</si>
  <si>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</si>
  <si>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</si>
  <si>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</si>
  <si>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</si>
  <si>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</si>
  <si>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</si>
  <si>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</si>
  <si>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</si>
  <si>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</si>
  <si>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</si>
  <si>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</si>
  <si>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</si>
  <si>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</si>
  <si>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</si>
  <si>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</si>
  <si>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</si>
  <si>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</si>
  <si>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</si>
  <si>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</si>
  <si>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</si>
  <si>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</si>
  <si>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</si>
  <si>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</si>
  <si>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</si>
  <si>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</si>
  <si>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</si>
  <si>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</si>
  <si>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</si>
  <si>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</si>
  <si>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</si>
  <si>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</si>
  <si>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</si>
  <si>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</si>
  <si>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</si>
  <si>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</si>
  <si>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</si>
  <si>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</si>
  <si>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</si>
  <si>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</si>
  <si>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</si>
  <si>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</si>
  <si>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</si>
  <si>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</si>
  <si>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</si>
  <si>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</si>
  <si>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</si>
  <si>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</si>
  <si>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</si>
  <si>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</si>
  <si>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</si>
  <si>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</si>
  <si>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</si>
  <si>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</si>
  <si>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</si>
  <si>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</si>
  <si>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</si>
  <si>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</si>
  <si>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</si>
  <si>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</si>
  <si>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</si>
  <si>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</si>
  <si>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</si>
  <si>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</si>
  <si>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</si>
  <si>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</si>
  <si>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</si>
  <si>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</si>
  <si>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</si>
  <si>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</si>
  <si>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</si>
  <si>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</si>
  <si>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</si>
  <si>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</si>
  <si>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</si>
  <si>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</si>
  <si>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</si>
  <si>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</si>
  <si>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</si>
  <si>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</si>
  <si>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</si>
  <si>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</si>
  <si>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</si>
  <si>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</si>
  <si>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</si>
  <si>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</si>
  <si>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</si>
  <si>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</si>
  <si>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</si>
  <si>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</si>
  <si>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</si>
  <si>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</si>
  <si>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</si>
  <si>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</si>
  <si>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</si>
  <si>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</si>
  <si>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</si>
  <si>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</si>
  <si>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</si>
  <si>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</si>
  <si>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</si>
  <si>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</si>
  <si>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</si>
  <si>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</si>
  <si>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</si>
  <si>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</si>
  <si>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</si>
  <si>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</si>
  <si>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</si>
  <si>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</si>
  <si>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</si>
  <si>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</si>
  <si>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</si>
  <si>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</si>
  <si>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</si>
  <si>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</si>
  <si>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</si>
  <si>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</si>
  <si>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</si>
  <si>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</si>
  <si>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</si>
  <si>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</si>
  <si>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</si>
  <si>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</si>
  <si>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</si>
  <si>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</si>
  <si>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</si>
  <si>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</si>
  <si>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</si>
  <si>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</si>
  <si>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</si>
  <si>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</si>
  <si>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</si>
  <si>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</si>
  <si>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</si>
  <si>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</si>
  <si>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</si>
  <si>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</si>
  <si>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</si>
  <si>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</si>
  <si>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</si>
  <si>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</si>
  <si>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</si>
  <si>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</si>
  <si>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</si>
  <si>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</si>
  <si>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</si>
  <si>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</si>
  <si>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</si>
  <si>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</si>
  <si>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</si>
  <si>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</si>
  <si>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</si>
  <si>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</si>
  <si>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</si>
  <si>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</si>
  <si>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</si>
  <si>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</si>
  <si>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</si>
  <si>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</si>
  <si>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</si>
  <si>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</si>
  <si>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</si>
  <si>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</si>
  <si>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</si>
  <si>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</si>
  <si>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</si>
  <si>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</si>
  <si>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</si>
  <si>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</si>
  <si>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</si>
  <si>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</si>
  <si>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</si>
  <si>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</si>
  <si>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</si>
  <si>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</si>
  <si>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</si>
  <si>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</si>
  <si>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</si>
  <si>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</si>
  <si>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</si>
  <si>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</si>
  <si>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</si>
  <si>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</si>
  <si>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</si>
  <si>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</si>
  <si>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</si>
  <si>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</si>
  <si>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</si>
  <si>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</si>
  <si>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</si>
  <si>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</si>
  <si>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</si>
  <si>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</si>
  <si>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</si>
  <si>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</si>
  <si>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</si>
  <si>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</si>
  <si>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</si>
  <si>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</si>
  <si>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</si>
  <si>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</si>
  <si>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</si>
  <si>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</si>
  <si>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</si>
  <si>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</si>
  <si>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</si>
  <si>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</si>
  <si>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</si>
  <si>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</si>
  <si>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</si>
  <si>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</si>
  <si>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</si>
  <si>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</si>
  <si>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</si>
  <si>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</si>
  <si>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</si>
  <si>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</si>
  <si>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</si>
  <si>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</si>
  <si>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</si>
  <si>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</si>
  <si>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</si>
  <si>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</si>
  <si>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</si>
  <si>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</si>
  <si>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</si>
  <si>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</si>
  <si>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</si>
  <si>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</si>
  <si>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</si>
  <si>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</si>
  <si>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</si>
  <si>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</si>
  <si>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</si>
  <si>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</si>
  <si>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</si>
  <si>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</si>
  <si>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</si>
  <si>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</si>
  <si>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</si>
  <si>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</si>
  <si>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</si>
  <si>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</si>
  <si>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</si>
  <si>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</si>
  <si>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</si>
  <si>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</si>
  <si>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</si>
  <si>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</si>
  <si>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</si>
  <si>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</si>
  <si>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</si>
  <si>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</si>
  <si>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</si>
  <si>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</si>
  <si>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</si>
  <si>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</si>
  <si>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</si>
  <si>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</si>
  <si>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</si>
  <si>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</si>
  <si>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</si>
  <si>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</si>
  <si>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</si>
  <si>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</si>
  <si>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</si>
  <si>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</si>
  <si>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</si>
  <si>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</si>
  <si>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</si>
  <si>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</si>
  <si>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</si>
  <si>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</si>
  <si>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</si>
  <si>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</si>
  <si>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</si>
  <si>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</si>
  <si>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</si>
  <si>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</si>
  <si>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</si>
  <si>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</si>
  <si>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</si>
  <si>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</si>
  <si>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</si>
  <si>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</si>
  <si>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</si>
  <si>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</si>
  <si>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</si>
  <si>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</si>
  <si>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</si>
  <si>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</si>
  <si>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</si>
  <si>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</si>
  <si>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</si>
  <si>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</si>
  <si>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</si>
  <si>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</si>
  <si>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</si>
  <si>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</si>
  <si>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</si>
  <si>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</si>
  <si>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</si>
  <si>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</si>
  <si>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</si>
  <si>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</si>
  <si>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</si>
  <si>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</si>
  <si>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</si>
  <si>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</si>
  <si>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</si>
  <si>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</si>
  <si>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</si>
  <si>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</si>
  <si>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</si>
  <si>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</si>
  <si>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</si>
  <si>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</si>
  <si>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</si>
  <si>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</si>
  <si>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</si>
  <si>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</si>
  <si>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</si>
  <si>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</si>
  <si>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</si>
  <si>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</si>
  <si>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</si>
  <si>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</si>
  <si>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</si>
  <si>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</si>
  <si>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</si>
  <si>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</si>
  <si>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</si>
  <si>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</si>
  <si>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</si>
  <si>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</si>
  <si>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</si>
  <si>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</si>
  <si>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</si>
  <si>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</si>
  <si>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</si>
  <si>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</si>
  <si>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</si>
  <si>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</si>
  <si>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</si>
  <si>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</si>
  <si>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</si>
  <si>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</si>
  <si>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</si>
  <si>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</si>
  <si>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</si>
  <si>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</si>
  <si>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</si>
  <si>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</si>
  <si>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</si>
  <si>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</si>
  <si>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</si>
  <si>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</si>
  <si>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</si>
  <si>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</si>
  <si>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</si>
  <si>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</si>
  <si>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</si>
  <si>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</si>
  <si>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</si>
  <si>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</si>
  <si>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</si>
  <si>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</si>
  <si>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</si>
  <si>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</si>
  <si>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</si>
  <si>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</si>
  <si>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</si>
  <si>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</si>
  <si>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</si>
  <si>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</si>
  <si>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</si>
  <si>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</si>
  <si>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</si>
  <si>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</si>
  <si>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</si>
  <si>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</si>
  <si>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</si>
  <si>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</si>
  <si>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</si>
  <si>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</si>
  <si>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</si>
  <si>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</si>
  <si>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</si>
  <si>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</si>
  <si>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</si>
  <si>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</si>
  <si>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</si>
  <si>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</si>
  <si>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</si>
  <si>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</si>
  <si>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</si>
  <si>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</si>
  <si>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</si>
  <si>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</si>
  <si>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</si>
  <si>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</si>
  <si>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</si>
  <si>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</si>
  <si>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</si>
  <si>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</si>
  <si>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</si>
  <si>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</si>
  <si>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</si>
  <si>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</si>
  <si>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</si>
  <si>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</si>
  <si>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</si>
  <si>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</si>
  <si>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</si>
  <si>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</si>
  <si>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</si>
  <si>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</si>
  <si>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</si>
  <si>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</si>
  <si>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</si>
  <si>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</si>
  <si>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</si>
  <si>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</si>
  <si>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</si>
  <si>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</si>
  <si>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</si>
  <si>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</si>
  <si>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</si>
  <si>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</si>
  <si>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</si>
  <si>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</si>
  <si>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</si>
  <si>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</si>
  <si>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</si>
  <si>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</si>
  <si>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</si>
  <si>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</si>
  <si>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</si>
  <si>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</si>
  <si>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</si>
  <si>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</si>
  <si>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</si>
  <si>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</si>
  <si>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</si>
  <si>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</si>
  <si>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</si>
  <si>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</si>
  <si>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</si>
  <si>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</si>
  <si>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</si>
  <si>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</si>
  <si>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</si>
  <si>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</si>
  <si>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</si>
  <si>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</si>
  <si>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</si>
  <si>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</si>
  <si>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</si>
  <si>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</si>
  <si>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</si>
  <si>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</si>
  <si>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</si>
  <si>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</si>
  <si>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</si>
  <si>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</si>
  <si>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</si>
  <si>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</si>
  <si>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</si>
  <si>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</si>
  <si>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</si>
  <si>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</si>
  <si>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</si>
  <si>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</si>
  <si>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</si>
  <si>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</si>
  <si>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</si>
  <si>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</si>
  <si>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</si>
  <si>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</si>
  <si>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</si>
  <si>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</si>
  <si>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</si>
  <si>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</si>
  <si>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</si>
  <si>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</si>
  <si>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</si>
  <si>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</si>
  <si>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</si>
  <si>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</si>
  <si>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</si>
  <si>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</si>
  <si>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</si>
  <si>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</si>
  <si>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</si>
  <si>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</si>
  <si>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</si>
  <si>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</si>
  <si>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</si>
  <si>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</si>
  <si>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</si>
  <si>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</si>
  <si>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</si>
  <si>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</si>
  <si>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</si>
  <si>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</si>
  <si>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</si>
  <si>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</si>
  <si>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</si>
  <si>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</si>
  <si>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</si>
  <si>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</si>
  <si>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</si>
  <si>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</si>
  <si>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</si>
  <si>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</si>
  <si>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</si>
  <si>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</si>
  <si>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</si>
  <si>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</si>
  <si>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</si>
  <si>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</si>
  <si>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</si>
  <si>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</si>
  <si>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</si>
  <si>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</si>
  <si>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</si>
  <si>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</si>
  <si>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</si>
  <si>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</si>
  <si>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</si>
  <si>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</si>
  <si>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</si>
  <si>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</si>
  <si>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</si>
  <si>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</si>
  <si>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</si>
  <si>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</si>
  <si>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</si>
  <si>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</si>
  <si>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</si>
  <si>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</si>
  <si>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</si>
  <si>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</si>
  <si>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</si>
  <si>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</si>
  <si>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</si>
  <si>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</si>
  <si>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</si>
  <si>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</si>
  <si>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</si>
  <si>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</si>
  <si>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</si>
  <si>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</si>
  <si>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</si>
  <si>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</si>
  <si>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</si>
  <si>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</si>
  <si>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</si>
  <si>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</si>
  <si>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</si>
  <si>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</si>
  <si>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</si>
  <si>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</si>
  <si>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</si>
  <si>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</si>
  <si>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</si>
  <si>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</si>
  <si>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</si>
  <si>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</si>
  <si>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</si>
  <si>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</si>
  <si>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</si>
  <si>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</si>
  <si>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</si>
  <si>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</si>
  <si>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</si>
  <si>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</si>
  <si>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</si>
  <si>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</si>
  <si>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</si>
  <si>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</si>
  <si>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</si>
  <si>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</si>
  <si>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</si>
  <si>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</si>
  <si>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</si>
  <si>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</si>
  <si>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</si>
  <si>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</si>
  <si>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</si>
  <si>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</si>
  <si>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</si>
  <si>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</si>
  <si>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</si>
  <si>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</si>
  <si>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</si>
  <si>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</si>
  <si>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</si>
  <si>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</si>
  <si>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</si>
  <si>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</si>
  <si>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</si>
  <si>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</si>
  <si>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</si>
  <si>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</si>
  <si>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</si>
  <si>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</si>
  <si>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</si>
  <si>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</si>
  <si>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</si>
  <si>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</si>
  <si>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</si>
  <si>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</si>
  <si>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</si>
  <si>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</si>
  <si>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</si>
  <si>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</si>
  <si>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</si>
  <si>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</si>
  <si>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</si>
  <si>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</si>
  <si>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</si>
  <si>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</si>
  <si>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</si>
  <si>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</si>
  <si>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</si>
  <si>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</si>
  <si>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</si>
  <si>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</si>
  <si>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</si>
  <si>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</si>
  <si>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</si>
  <si>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</si>
  <si>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</si>
  <si>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</si>
  <si>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</si>
  <si>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</si>
  <si>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</si>
  <si>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</si>
  <si>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</si>
  <si>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</si>
  <si>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</si>
  <si>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</si>
  <si>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</si>
  <si>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</si>
  <si>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</si>
  <si>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</si>
  <si>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</si>
  <si>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</si>
  <si>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</si>
  <si>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</si>
  <si>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</si>
  <si>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</si>
  <si>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</si>
  <si>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</si>
  <si>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</si>
  <si>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</si>
  <si>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</si>
  <si>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</si>
  <si>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</si>
  <si>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</si>
  <si>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</si>
  <si>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</si>
  <si>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</si>
  <si>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</si>
  <si>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</si>
  <si>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</si>
  <si>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</si>
  <si>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</si>
  <si>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</si>
  <si>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</si>
  <si>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</si>
  <si>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</si>
  <si>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</si>
  <si>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</si>
  <si>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</si>
  <si>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</si>
  <si>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</si>
  <si>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</si>
  <si>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</si>
  <si>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</si>
  <si>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</si>
  <si>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</si>
  <si>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</si>
  <si>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</si>
  <si>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</si>
  <si>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</si>
  <si>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</si>
  <si>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</si>
  <si>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</si>
  <si>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</si>
  <si>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</si>
  <si>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</si>
  <si>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</si>
  <si>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</si>
  <si>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</si>
  <si>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</si>
  <si>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</si>
  <si>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</si>
  <si>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</si>
  <si>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</si>
  <si>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</si>
  <si>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</si>
  <si>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</si>
  <si>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</si>
  <si>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</si>
  <si>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</si>
  <si>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</si>
  <si>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</si>
  <si>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</si>
  <si>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</si>
  <si>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</si>
  <si>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</si>
  <si>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</si>
  <si>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</si>
  <si>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</si>
  <si>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</si>
  <si>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</si>
  <si>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</si>
  <si>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</si>
  <si>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</si>
  <si>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</si>
  <si>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</si>
  <si>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</si>
  <si>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</si>
  <si>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</si>
  <si>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</si>
  <si>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</si>
  <si>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</si>
  <si>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</si>
  <si>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</si>
  <si>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</si>
  <si>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</si>
  <si>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</si>
  <si>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</si>
  <si>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</si>
  <si>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</si>
  <si>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</si>
  <si>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</si>
  <si>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</si>
  <si>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</si>
  <si>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</si>
  <si>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</si>
  <si>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</si>
  <si>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</si>
  <si>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</si>
  <si>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</si>
  <si>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</si>
  <si>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</si>
  <si>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</si>
  <si>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</si>
  <si>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</si>
  <si>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</si>
  <si>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</si>
  <si>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</si>
  <si>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</si>
  <si>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</si>
  <si>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</si>
  <si>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</si>
  <si>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</si>
  <si>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</si>
  <si>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</si>
  <si>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</si>
  <si>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</si>
  <si>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</si>
  <si>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</si>
  <si>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</si>
  <si>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</si>
  <si>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</si>
  <si>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</si>
  <si>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</si>
  <si>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</si>
  <si>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</si>
  <si>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</si>
  <si>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</si>
  <si>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</si>
  <si>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</si>
  <si>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</si>
  <si>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</si>
  <si>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</si>
  <si>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</si>
  <si>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</si>
  <si>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</si>
  <si>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</si>
  <si>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</si>
  <si>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</si>
  <si>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</si>
  <si>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</si>
  <si>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</si>
  <si>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</si>
  <si>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</si>
  <si>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</si>
  <si>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</si>
  <si>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</si>
  <si>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</si>
  <si>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</si>
  <si>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</si>
  <si>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</si>
  <si>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</si>
  <si>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</si>
  <si>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</si>
  <si>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</si>
  <si>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</si>
  <si>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</si>
  <si>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</si>
  <si>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</si>
  <si>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</si>
  <si>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</si>
  <si>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</si>
  <si>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</si>
  <si>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</si>
  <si>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</si>
  <si>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</si>
  <si>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</si>
  <si>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</si>
  <si>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</si>
  <si>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</si>
  <si>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</si>
  <si>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</si>
  <si>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</si>
  <si>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</si>
  <si>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</si>
  <si>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</si>
  <si>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</si>
  <si>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</si>
  <si>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</si>
  <si>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</si>
  <si>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</si>
  <si>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</si>
  <si>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</si>
  <si>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</si>
  <si>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</si>
  <si>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</si>
  <si>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</si>
  <si>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</si>
  <si>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</si>
  <si>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</si>
  <si>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</si>
  <si>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</si>
  <si>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</si>
  <si>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</si>
  <si>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</si>
  <si>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</si>
  <si>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</si>
  <si>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</si>
  <si>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</si>
  <si>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</si>
  <si>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</si>
  <si>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</si>
  <si>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</si>
  <si>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</si>
  <si>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</si>
  <si>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</si>
  <si>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</si>
  <si>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</si>
  <si>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</si>
  <si>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</si>
  <si>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</si>
  <si>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</si>
  <si>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</si>
  <si>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</si>
  <si>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</si>
  <si>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</si>
  <si>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</si>
  <si>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</si>
  <si>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</si>
  <si>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</si>
  <si>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</si>
  <si>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</si>
  <si>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</si>
  <si>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</si>
  <si>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</si>
  <si>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</si>
  <si>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</si>
  <si>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</si>
  <si>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</si>
  <si>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</si>
  <si>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</si>
  <si>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</si>
  <si>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</si>
  <si>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</si>
  <si>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</si>
  <si>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</si>
  <si>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</si>
  <si>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</si>
  <si>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</si>
  <si>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</si>
  <si>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</si>
  <si>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</si>
  <si>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</si>
  <si>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</si>
  <si>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</si>
  <si>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</si>
  <si>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</si>
  <si>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</si>
  <si>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</si>
  <si>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</si>
  <si>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</si>
  <si>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</si>
  <si>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</si>
  <si>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</si>
  <si>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</si>
  <si>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</si>
  <si>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</si>
  <si>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</si>
  <si>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</si>
  <si>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</si>
  <si>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</si>
  <si>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</si>
  <si>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</si>
  <si>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</si>
  <si>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</si>
  <si>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</si>
  <si>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</si>
  <si>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</si>
  <si>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</si>
  <si>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</si>
  <si>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</si>
  <si>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</si>
  <si>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</si>
  <si>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</si>
  <si>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</si>
  <si>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</si>
  <si>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</si>
  <si>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</si>
  <si>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</si>
  <si>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</si>
  <si>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</si>
  <si>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</si>
  <si>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</si>
  <si>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</si>
  <si>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</si>
  <si>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</si>
  <si>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</si>
  <si>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</si>
  <si>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</si>
  <si>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</si>
  <si>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</si>
  <si>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</si>
  <si>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</si>
  <si>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</si>
  <si>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</si>
  <si>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</si>
  <si>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</si>
  <si>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</si>
  <si>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</si>
  <si>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</si>
  <si>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</si>
  <si>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</si>
  <si>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</si>
  <si>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</si>
  <si>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</si>
  <si>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</si>
  <si>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</si>
  <si>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</si>
  <si>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</si>
  <si>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</si>
  <si>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</si>
  <si>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</si>
  <si>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</si>
  <si>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</si>
  <si>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</si>
  <si>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</si>
  <si>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</si>
  <si>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</si>
  <si>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</si>
  <si>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</si>
  <si>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</si>
  <si>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</si>
  <si>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</si>
  <si>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</si>
  <si>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</si>
  <si>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</si>
  <si>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</si>
  <si>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</si>
  <si>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</si>
  <si>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</si>
  <si>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</si>
  <si>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</si>
  <si>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</si>
  <si>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</si>
  <si>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</si>
  <si>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</si>
  <si>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</si>
  <si>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</si>
  <si>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</si>
  <si>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</si>
  <si>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</si>
  <si>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</si>
  <si>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</si>
  <si>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</si>
  <si>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</si>
  <si>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</si>
  <si>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</si>
  <si>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</si>
  <si>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</si>
  <si>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</si>
  <si>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</si>
  <si>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</si>
  <si>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</si>
  <si>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</si>
  <si>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</si>
  <si>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</si>
  <si>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</si>
  <si>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</si>
  <si>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</si>
  <si>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</si>
  <si>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</si>
  <si>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</si>
  <si>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</si>
  <si>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</si>
  <si>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</si>
  <si>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</si>
  <si>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</si>
  <si>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</si>
  <si>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</si>
  <si>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</si>
  <si>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</si>
  <si>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</si>
  <si>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</si>
  <si>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</si>
  <si>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</si>
  <si>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</si>
  <si>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</si>
  <si>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</si>
  <si>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</si>
  <si>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</si>
  <si>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</si>
  <si>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</si>
  <si>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</si>
  <si>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</si>
  <si>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</si>
  <si>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</si>
  <si>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</si>
  <si>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</si>
  <si>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</si>
  <si>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</si>
  <si>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</si>
  <si>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</si>
  <si>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</si>
  <si>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</si>
  <si>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</si>
  <si>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</si>
  <si>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</si>
  <si>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</si>
  <si>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</si>
  <si>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</si>
  <si>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</si>
  <si>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</si>
  <si>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</si>
  <si>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</si>
  <si>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</si>
  <si>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</si>
  <si>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</si>
  <si>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</si>
  <si>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</si>
  <si>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</si>
  <si>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</si>
  <si>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</si>
  <si>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</si>
  <si>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</si>
  <si>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</si>
  <si>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</si>
  <si>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</si>
  <si>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</si>
  <si>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</si>
  <si>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</si>
  <si>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</si>
  <si>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</si>
  <si>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</si>
  <si>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</si>
  <si>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</si>
  <si>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</si>
  <si>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</si>
  <si>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</si>
  <si>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</si>
  <si>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</si>
  <si>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</si>
  <si>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</si>
  <si>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</si>
  <si>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</si>
  <si>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</si>
  <si>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</si>
  <si>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</si>
  <si>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</si>
  <si>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</si>
  <si>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</si>
  <si>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</si>
  <si>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</si>
  <si>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</si>
  <si>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</si>
  <si>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</si>
  <si>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</si>
  <si>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</si>
  <si>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</si>
  <si>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</si>
  <si>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</si>
  <si>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</si>
  <si>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</si>
  <si>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</si>
  <si>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</si>
  <si>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</si>
  <si>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</si>
  <si>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</si>
  <si>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</si>
  <si>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</si>
  <si>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</si>
  <si>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</si>
  <si>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</si>
  <si>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</si>
  <si>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</si>
  <si>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</si>
  <si>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</si>
  <si>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</si>
  <si>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</si>
  <si>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</si>
  <si>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</si>
  <si>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</si>
  <si>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</si>
  <si>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</si>
  <si>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</si>
  <si>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</si>
  <si>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</si>
  <si>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</si>
  <si>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</si>
  <si>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</si>
  <si>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</si>
  <si>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</si>
  <si>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</si>
  <si>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</si>
  <si>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</si>
  <si>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</si>
  <si>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</si>
  <si>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</si>
  <si>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</si>
  <si>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</si>
  <si>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</si>
  <si>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</si>
  <si>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</si>
  <si>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</si>
  <si>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</si>
  <si>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</si>
  <si>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</si>
  <si>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</si>
  <si>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</si>
  <si>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</si>
  <si>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</si>
  <si>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</si>
  <si>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</si>
  <si>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</si>
  <si>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</si>
  <si>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</si>
  <si>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</si>
  <si>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</si>
  <si>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</si>
  <si>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</si>
  <si>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</si>
  <si>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</si>
  <si>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</si>
  <si>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</si>
  <si>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</si>
  <si>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</si>
  <si>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</si>
  <si>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</si>
  <si>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</si>
  <si>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</si>
  <si>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</si>
  <si>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</si>
  <si>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</si>
  <si>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</si>
  <si>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</si>
  <si>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</si>
  <si>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</si>
  <si>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</si>
  <si>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</si>
  <si>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</si>
  <si>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</si>
  <si>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</si>
  <si>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</si>
  <si>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</si>
  <si>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</si>
  <si>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</si>
  <si>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</si>
  <si>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</si>
  <si>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</si>
  <si>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</si>
  <si>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</si>
  <si>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</si>
  <si>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</si>
  <si>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</si>
  <si>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</si>
  <si>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</si>
  <si>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</si>
  <si>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</si>
  <si>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</si>
  <si>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</si>
  <si>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</si>
  <si>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</si>
  <si>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</si>
  <si>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</si>
  <si>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</si>
  <si>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</si>
  <si>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</si>
  <si>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</si>
  <si>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</si>
  <si>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</si>
  <si>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</si>
  <si>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</si>
  <si>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</si>
  <si>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</si>
  <si>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</si>
  <si>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</si>
  <si>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</si>
  <si>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</si>
  <si>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</si>
  <si>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</si>
  <si>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</si>
  <si>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</si>
  <si>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</si>
  <si>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</si>
  <si>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</si>
  <si>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</si>
  <si>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</si>
  <si>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</si>
  <si>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</si>
  <si>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</si>
  <si>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</si>
  <si>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</si>
  <si>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</si>
  <si>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</si>
  <si>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</si>
  <si>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</si>
  <si>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</si>
  <si>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</si>
  <si>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</si>
  <si>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</si>
  <si>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</si>
  <si>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</si>
  <si>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</si>
  <si>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</si>
  <si>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</si>
  <si>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</si>
  <si>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</si>
  <si>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</si>
  <si>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</si>
  <si>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</si>
  <si>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</si>
  <si>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</si>
  <si>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</si>
  <si>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</si>
  <si>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</si>
  <si>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</si>
  <si>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</si>
  <si>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</si>
  <si>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</si>
  <si>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</si>
  <si>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</si>
  <si>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</si>
  <si>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</si>
  <si>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</si>
  <si>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</si>
  <si>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</si>
  <si>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</si>
  <si>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</si>
  <si>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</si>
  <si>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</si>
  <si>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</si>
  <si>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</si>
  <si>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</si>
  <si>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</si>
  <si>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</si>
  <si>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</si>
  <si>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</si>
  <si>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</si>
  <si>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</si>
  <si>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</si>
  <si>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</si>
  <si>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</si>
  <si>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</si>
  <si>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</si>
  <si>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</si>
  <si>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</si>
  <si>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</si>
  <si>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</si>
  <si>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</si>
  <si>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</si>
  <si>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</si>
  <si>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</si>
  <si>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</si>
  <si>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</si>
  <si>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</si>
  <si>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</si>
  <si>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</si>
  <si>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</si>
  <si>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</si>
  <si>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</si>
  <si>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</si>
  <si>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</si>
  <si>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</si>
  <si>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</si>
  <si>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</si>
  <si>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</si>
  <si>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</si>
  <si>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</si>
  <si>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</si>
  <si>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</si>
  <si>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</si>
  <si>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</si>
  <si>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</si>
  <si>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</si>
  <si>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</si>
  <si>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</si>
  <si>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</si>
  <si>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</si>
  <si>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</si>
  <si>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</si>
  <si>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</si>
  <si>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</si>
  <si>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</si>
  <si>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</si>
  <si>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</si>
  <si>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</si>
  <si>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</si>
  <si>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</si>
  <si>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</si>
  <si>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</si>
  <si>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</si>
  <si>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</si>
  <si>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</si>
  <si>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</si>
  <si>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</si>
  <si>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</si>
  <si>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</si>
  <si>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</si>
  <si>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</si>
  <si>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</si>
  <si>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</si>
  <si>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</si>
  <si>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</si>
  <si>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</si>
  <si>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</si>
  <si>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</si>
  <si>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</si>
  <si>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</si>
  <si>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</si>
  <si>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</si>
  <si>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</si>
  <si>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</si>
  <si>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</si>
  <si>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</si>
  <si>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</si>
  <si>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</si>
  <si>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</si>
  <si>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</si>
  <si>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</si>
  <si>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</si>
  <si>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</si>
  <si>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</si>
  <si>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</si>
  <si>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</si>
  <si>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</si>
  <si>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</si>
  <si>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</si>
  <si>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</si>
  <si>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</si>
  <si>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</si>
  <si>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</si>
  <si>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</si>
  <si>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</si>
  <si>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</si>
  <si>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</si>
  <si>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</si>
  <si>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</si>
  <si>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</si>
  <si>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</si>
  <si>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</si>
  <si>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</si>
  <si>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</si>
  <si>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</si>
  <si>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</si>
  <si>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</si>
  <si>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</si>
  <si>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</si>
  <si>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</si>
  <si>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</si>
  <si>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</si>
  <si>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</si>
  <si>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</si>
  <si>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</si>
  <si>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</si>
  <si>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</si>
  <si>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</si>
  <si>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</si>
  <si>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</si>
  <si>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</si>
  <si>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</si>
  <si>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</si>
  <si>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</si>
  <si>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</si>
  <si>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</si>
  <si>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</si>
  <si>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</si>
  <si>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</si>
  <si>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</si>
  <si>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</si>
  <si>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</si>
  <si>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</si>
  <si>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</si>
  <si>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</si>
  <si>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</si>
  <si>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</si>
  <si>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</si>
  <si>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</si>
  <si>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</si>
  <si>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</si>
  <si>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</si>
  <si>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</si>
  <si>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</si>
  <si>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</si>
  <si>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</si>
  <si>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</si>
  <si>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</si>
  <si>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</si>
  <si>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</si>
  <si>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</si>
  <si>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</si>
  <si>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</si>
  <si>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</si>
  <si>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</si>
  <si>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</si>
  <si>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</si>
  <si>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</si>
  <si>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</si>
  <si>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</si>
  <si>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</si>
  <si>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</si>
  <si>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</si>
  <si>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</si>
  <si>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</si>
  <si>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</si>
  <si>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</si>
  <si>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</si>
  <si>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</si>
  <si>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</si>
  <si>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</si>
  <si>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</si>
  <si>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</si>
  <si>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</si>
  <si>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</si>
  <si>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</si>
  <si>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</si>
  <si>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</si>
  <si>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</si>
  <si>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</si>
  <si>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</si>
  <si>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</si>
  <si>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</si>
  <si>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</si>
  <si>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</si>
  <si>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</si>
  <si>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</si>
  <si>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</si>
  <si>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</si>
  <si>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</si>
  <si>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</si>
  <si>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</si>
  <si>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</si>
  <si>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</si>
  <si>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</si>
  <si>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</si>
  <si>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</si>
  <si>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</si>
  <si>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</si>
  <si>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</si>
  <si>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</si>
  <si>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</si>
  <si>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</si>
  <si>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</si>
  <si>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</si>
  <si>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</si>
  <si>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</si>
  <si>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</si>
  <si>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</si>
  <si>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</si>
  <si>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</si>
  <si>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</si>
  <si>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</si>
  <si>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</si>
  <si>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</si>
  <si>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</si>
  <si>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</si>
  <si>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</si>
  <si>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</si>
  <si>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</si>
  <si>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</si>
  <si>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</si>
  <si>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</si>
  <si>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</si>
  <si>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</si>
  <si>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</si>
  <si>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</si>
  <si>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</si>
  <si>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</si>
  <si>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</si>
  <si>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</si>
  <si>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</si>
  <si>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</si>
  <si>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</si>
  <si>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</si>
  <si>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</si>
  <si>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</si>
  <si>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</si>
  <si>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</si>
  <si>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</si>
  <si>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</si>
  <si>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</si>
  <si>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</si>
  <si>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</si>
  <si>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</si>
  <si>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</si>
  <si>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</si>
  <si>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</si>
  <si>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</si>
  <si>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</si>
  <si>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</si>
  <si>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</si>
  <si>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</si>
  <si>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</si>
  <si>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</si>
  <si>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</si>
  <si>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</si>
  <si>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</si>
  <si>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</si>
  <si>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</si>
  <si>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</si>
  <si>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</si>
  <si>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</si>
  <si>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</si>
  <si>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</si>
  <si>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</si>
  <si>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</si>
  <si>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</si>
  <si>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</si>
  <si>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</si>
  <si>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</si>
  <si>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</si>
  <si>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</si>
  <si>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</si>
  <si>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</si>
  <si>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</si>
  <si>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</si>
  <si>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</si>
  <si>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</si>
  <si>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</si>
  <si>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</si>
  <si>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</si>
  <si>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</si>
  <si>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</si>
  <si>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</si>
  <si>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</si>
  <si>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</si>
  <si>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</si>
  <si>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</si>
  <si>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</si>
  <si>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</si>
  <si>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</si>
  <si>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</si>
  <si>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</si>
  <si>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</si>
  <si>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</si>
  <si>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</si>
  <si>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</si>
  <si>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</si>
  <si>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</si>
  <si>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</si>
  <si>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</si>
  <si>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</si>
  <si>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</si>
  <si>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</si>
  <si>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</si>
  <si>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</si>
  <si>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</si>
  <si>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</si>
  <si>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</si>
  <si>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</si>
  <si>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</si>
  <si>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</si>
  <si>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</si>
  <si>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</si>
  <si>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</si>
  <si>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</si>
  <si>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</si>
  <si>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</si>
  <si>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</si>
  <si>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</si>
  <si>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</si>
  <si>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</si>
  <si>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</si>
  <si>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</si>
  <si>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</si>
  <si>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</si>
  <si>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</si>
  <si>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</si>
  <si>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</si>
  <si>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</si>
  <si>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</si>
  <si>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</si>
  <si>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</si>
  <si>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</si>
  <si>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</si>
  <si>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</si>
  <si>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</si>
  <si>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</si>
  <si>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</si>
  <si>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</si>
  <si>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</si>
  <si>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</si>
  <si>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</si>
  <si>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</si>
  <si>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</si>
  <si>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</si>
  <si>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</si>
  <si>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</si>
  <si>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</si>
  <si>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</si>
  <si>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</si>
  <si>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</si>
  <si>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</si>
  <si>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</si>
  <si>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</si>
  <si>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</si>
  <si>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</si>
  <si>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</si>
  <si>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</si>
  <si>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</si>
  <si>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</si>
  <si>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</si>
  <si>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</si>
  <si>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</si>
  <si>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</si>
  <si>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</si>
  <si>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</si>
  <si>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</si>
  <si>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</si>
  <si>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</si>
  <si>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</si>
  <si>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</si>
  <si>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</si>
  <si>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</si>
  <si>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</si>
  <si>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</si>
  <si>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</si>
  <si>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</si>
  <si>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</si>
  <si>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</si>
  <si>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</si>
  <si>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</si>
  <si>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</si>
  <si>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</si>
  <si>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</si>
  <si>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</si>
  <si>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</si>
  <si>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</si>
  <si>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</si>
  <si>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</si>
  <si>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</si>
  <si>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</si>
  <si>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</si>
  <si>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</si>
  <si>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</si>
  <si>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</si>
  <si>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</si>
  <si>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</si>
  <si>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</si>
  <si>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</si>
  <si>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</si>
  <si>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</si>
  <si>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</si>
  <si>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</si>
  <si>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</si>
  <si>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</si>
  <si>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</si>
  <si>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</si>
  <si>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</si>
  <si>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</si>
  <si>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</si>
  <si>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</si>
  <si>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</si>
  <si>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</si>
  <si>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</si>
  <si>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</si>
  <si>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</si>
  <si>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</si>
  <si>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</si>
  <si>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</si>
  <si>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</si>
  <si>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</si>
  <si>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</si>
  <si>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</si>
  <si>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</si>
  <si>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</si>
  <si>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</si>
  <si>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</si>
  <si>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</si>
  <si>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</si>
  <si>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</si>
  <si>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</si>
  <si>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</si>
  <si>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</si>
  <si>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</si>
  <si>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</si>
  <si>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</si>
  <si>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</si>
  <si>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</si>
  <si>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</si>
  <si>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</si>
  <si>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</si>
  <si>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</si>
  <si>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</si>
  <si>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</si>
  <si>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</si>
  <si>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</si>
  <si>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</si>
  <si>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</si>
  <si>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</si>
  <si>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</si>
  <si>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</si>
  <si>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</si>
  <si>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</si>
  <si>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</si>
  <si>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</si>
  <si>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</si>
  <si>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</si>
  <si>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</si>
  <si>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</si>
  <si>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</si>
  <si>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</si>
  <si>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</si>
  <si>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</si>
  <si>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</si>
  <si>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</si>
  <si>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</si>
  <si>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</si>
  <si>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</si>
  <si>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</si>
  <si>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</si>
  <si>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</si>
  <si>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</si>
  <si>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</si>
  <si>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</si>
  <si>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</si>
  <si>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</si>
  <si>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</si>
  <si>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</si>
  <si>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</si>
  <si>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</si>
  <si>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</si>
  <si>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</si>
  <si>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</si>
  <si>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</si>
  <si>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</si>
  <si>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</si>
  <si>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</si>
  <si>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</si>
  <si>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</si>
  <si>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</si>
  <si>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</si>
  <si>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</si>
  <si>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</si>
  <si>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</si>
  <si>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</si>
  <si>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</si>
  <si>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</si>
  <si>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</si>
  <si>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</si>
  <si>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</si>
  <si>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</si>
  <si>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</si>
  <si>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</si>
  <si>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</si>
  <si>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</si>
  <si>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</si>
  <si>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</si>
  <si>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</si>
  <si>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</si>
  <si>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</si>
  <si>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</si>
  <si>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</si>
  <si>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</si>
  <si>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</si>
  <si>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</si>
  <si>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</si>
  <si>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</si>
  <si>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</si>
  <si>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</si>
  <si>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</si>
  <si>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</si>
  <si>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</si>
  <si>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</si>
  <si>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</si>
  <si>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</si>
  <si>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</si>
  <si>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</si>
  <si>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</si>
  <si>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</si>
  <si>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</si>
  <si>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</si>
  <si>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</si>
  <si>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</si>
  <si>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</si>
  <si>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</si>
  <si>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</si>
  <si>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</si>
  <si>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</si>
  <si>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</si>
  <si>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</si>
  <si>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</si>
  <si>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</si>
  <si>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</si>
  <si>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</si>
  <si>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</si>
  <si>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</si>
  <si>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</si>
  <si>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</si>
  <si>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</si>
  <si>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</si>
  <si>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</si>
  <si>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</si>
  <si>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</si>
  <si>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</si>
  <si>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</si>
  <si>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</si>
  <si>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</si>
  <si>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</si>
  <si>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</si>
  <si>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</si>
  <si>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</si>
  <si>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</si>
  <si>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</si>
  <si>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</si>
  <si>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</si>
  <si>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</si>
  <si>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</si>
  <si>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</si>
  <si>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</si>
  <si>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</si>
  <si>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</si>
  <si>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</si>
  <si>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</si>
  <si>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</si>
  <si>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</si>
  <si>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</si>
  <si>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</si>
  <si>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</si>
  <si>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</si>
  <si>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</si>
  <si>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</si>
  <si>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</si>
  <si>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</si>
  <si>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</si>
  <si>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</si>
  <si>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</si>
  <si>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</si>
  <si>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</si>
  <si>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</si>
  <si>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</si>
  <si>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</si>
  <si>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</si>
  <si>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</si>
  <si>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</si>
  <si>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</si>
  <si>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</si>
  <si>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</si>
  <si>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</si>
  <si>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</si>
  <si>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</si>
  <si>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</si>
  <si>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</si>
  <si>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</si>
  <si>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</si>
  <si>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</si>
  <si>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</si>
  <si>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</si>
  <si>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</si>
  <si>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</si>
  <si>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</si>
  <si>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</si>
  <si>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</si>
  <si>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</si>
  <si>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</si>
  <si>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</si>
  <si>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</si>
  <si>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</si>
  <si>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</si>
  <si>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</si>
  <si>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</si>
  <si>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</si>
  <si>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</si>
  <si>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</si>
  <si>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</si>
  <si>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</si>
  <si>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</si>
  <si>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</si>
  <si>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</si>
  <si>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</si>
  <si>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</si>
  <si>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</si>
  <si>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</si>
  <si>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</si>
  <si>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</si>
  <si>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</si>
  <si>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</si>
  <si>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</si>
  <si>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</si>
  <si>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</si>
  <si>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</si>
  <si>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</si>
  <si>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</si>
  <si>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</si>
  <si>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</si>
  <si>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</si>
  <si>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</si>
  <si>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</si>
  <si>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</si>
  <si>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</si>
  <si>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</si>
  <si>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</si>
  <si>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</si>
  <si>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</si>
  <si>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</si>
  <si>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</si>
  <si>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</si>
  <si>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</si>
  <si>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</si>
  <si>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</si>
  <si>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</si>
  <si>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</si>
  <si>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</si>
  <si>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</si>
  <si>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</si>
  <si>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</si>
  <si>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</si>
  <si>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</si>
  <si>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</si>
  <si>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</si>
  <si>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</si>
  <si>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</si>
  <si>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</si>
  <si>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</si>
  <si>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</si>
  <si>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</si>
  <si>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</si>
  <si>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</si>
  <si>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</si>
  <si>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</si>
  <si>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</si>
  <si>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</si>
  <si>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</si>
  <si>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</si>
  <si>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</si>
  <si>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</si>
  <si>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</si>
  <si>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</si>
  <si>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</si>
  <si>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</si>
  <si>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</si>
  <si>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</si>
  <si>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</si>
  <si>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</si>
  <si>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</si>
  <si>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</si>
  <si>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</si>
  <si>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</si>
  <si>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</si>
  <si>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</si>
  <si>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</si>
  <si>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</si>
  <si>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</si>
  <si>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</si>
  <si>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</si>
  <si>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</si>
  <si>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</si>
  <si>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</si>
  <si>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</si>
  <si>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</si>
  <si>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</si>
  <si>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</si>
  <si>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</si>
  <si>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</si>
  <si>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</si>
  <si>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</si>
  <si>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</si>
  <si>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</si>
  <si>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</si>
  <si>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</si>
  <si>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</si>
  <si>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</si>
  <si>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</si>
  <si>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</si>
  <si>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</si>
  <si>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</si>
  <si>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</si>
  <si>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</si>
  <si>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</si>
  <si>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</si>
  <si>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</si>
  <si>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</si>
  <si>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</si>
  <si>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</si>
  <si>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</si>
  <si>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</si>
  <si>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</si>
  <si>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</si>
  <si>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</si>
  <si>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</si>
  <si>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</si>
  <si>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</si>
  <si>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</si>
  <si>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</si>
  <si>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</si>
  <si>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</si>
  <si>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</si>
  <si>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</si>
  <si>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</si>
  <si>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</si>
  <si>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</si>
  <si>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</si>
  <si>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</si>
  <si>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</si>
  <si>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</si>
  <si>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</si>
  <si>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</si>
  <si>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</si>
  <si>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</si>
  <si>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</si>
  <si>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</si>
  <si>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</si>
  <si>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</si>
  <si>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</si>
  <si>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</si>
  <si>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</si>
  <si>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</si>
  <si>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</si>
  <si>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</si>
  <si>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</si>
  <si>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</si>
  <si>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</si>
  <si>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</si>
  <si>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</si>
  <si>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</si>
  <si>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</si>
  <si>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</si>
  <si>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</si>
  <si>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</si>
  <si>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</si>
  <si>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</si>
  <si>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</si>
  <si>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</si>
  <si>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</si>
  <si>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</si>
  <si>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</si>
  <si>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</si>
  <si>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</si>
  <si>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</si>
  <si>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</si>
  <si>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</si>
  <si>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</si>
  <si>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</si>
  <si>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</si>
  <si>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</si>
  <si>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</si>
  <si>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</si>
  <si>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</si>
  <si>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</si>
  <si>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</si>
  <si>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</si>
  <si>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</si>
  <si>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</si>
  <si>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</si>
  <si>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</si>
  <si>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</si>
  <si>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</si>
  <si>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</si>
  <si>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</si>
  <si>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</si>
  <si>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</si>
  <si>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</si>
  <si>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</si>
  <si>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</si>
  <si>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</si>
  <si>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</si>
  <si>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</si>
  <si>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</si>
  <si>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</si>
  <si>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</si>
  <si>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</si>
  <si>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</si>
  <si>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</si>
  <si>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</si>
  <si>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</si>
  <si>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</si>
  <si>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</si>
  <si>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</si>
  <si>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</si>
  <si>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</si>
  <si>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</si>
  <si>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</si>
  <si>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</si>
  <si>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</si>
  <si>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</si>
  <si>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</si>
  <si>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</si>
  <si>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</si>
  <si>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</si>
  <si>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</si>
  <si>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</si>
  <si>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</si>
  <si>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</si>
  <si>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</si>
  <si>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</si>
  <si>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</si>
  <si>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</si>
  <si>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</si>
  <si>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</si>
  <si>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</si>
  <si>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</si>
  <si>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</si>
  <si>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</si>
  <si>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</si>
  <si>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</si>
  <si>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</si>
  <si>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</si>
  <si>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</si>
  <si>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</si>
  <si>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</si>
  <si>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</si>
  <si>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</si>
  <si>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</si>
  <si>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</si>
  <si>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</si>
  <si>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</si>
  <si>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</si>
  <si>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</si>
  <si>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</si>
  <si>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</si>
  <si>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</si>
  <si>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</si>
  <si>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</si>
  <si>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</si>
  <si>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</si>
  <si>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</si>
  <si>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</si>
  <si>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</si>
  <si>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</si>
  <si>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</si>
  <si>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</si>
  <si>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</si>
  <si>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</si>
  <si>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</si>
  <si>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</si>
  <si>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</si>
  <si>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</si>
  <si>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</si>
  <si>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</si>
  <si>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</si>
  <si>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</si>
  <si>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</si>
  <si>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</si>
  <si>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</si>
  <si>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</si>
  <si>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</si>
  <si>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</si>
  <si>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</si>
  <si>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</si>
  <si>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</si>
  <si>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</si>
  <si>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</si>
  <si>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</si>
  <si>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</si>
  <si>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</si>
  <si>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</si>
  <si>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</si>
  <si>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</si>
  <si>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</si>
  <si>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</si>
  <si>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</si>
  <si>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</si>
  <si>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</si>
  <si>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</si>
  <si>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</si>
  <si>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</si>
  <si>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</si>
  <si>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</si>
  <si>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</si>
  <si>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</si>
  <si>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</si>
  <si>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</si>
  <si>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</si>
  <si>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</si>
  <si>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</si>
  <si>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</si>
  <si>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</si>
  <si>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</si>
  <si>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</si>
  <si>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</si>
  <si>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</si>
  <si>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</si>
  <si>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</si>
  <si>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</si>
  <si>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</si>
  <si>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</si>
  <si>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</si>
  <si>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</si>
  <si>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</si>
  <si>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</si>
  <si>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</si>
  <si>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</si>
  <si>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</si>
  <si>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</si>
  <si>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</si>
  <si>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</si>
  <si>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</si>
  <si>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</si>
  <si>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</si>
  <si>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</si>
  <si>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</si>
  <si>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</si>
  <si>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</si>
  <si>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</si>
  <si>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</si>
  <si>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</si>
  <si>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</si>
  <si>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</si>
  <si>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</si>
  <si>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</si>
  <si>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</si>
  <si>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</si>
  <si>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</si>
  <si>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</si>
  <si>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</si>
  <si>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</si>
  <si>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</si>
  <si>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</si>
  <si>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</si>
  <si>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</si>
  <si>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</si>
  <si>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</si>
  <si>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</si>
  <si>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</si>
  <si>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</si>
  <si>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</si>
  <si>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</si>
  <si>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</si>
  <si>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</si>
  <si>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</si>
  <si>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</si>
  <si>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</si>
  <si>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</si>
  <si>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</si>
  <si>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</si>
  <si>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</si>
  <si>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</si>
  <si>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</si>
  <si>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</si>
  <si>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</si>
  <si>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</si>
  <si>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</si>
  <si>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</si>
  <si>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</si>
  <si>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</si>
  <si>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</si>
  <si>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</si>
  <si>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</si>
  <si>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</si>
  <si>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</si>
  <si>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</si>
  <si>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</si>
  <si>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</si>
  <si>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</si>
  <si>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</si>
  <si>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</si>
  <si>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</si>
  <si>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</si>
  <si>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</si>
  <si>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</si>
  <si>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</si>
  <si>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</si>
  <si>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</si>
  <si>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</si>
  <si>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</si>
  <si>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</si>
  <si>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</si>
  <si>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</si>
  <si>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</si>
  <si>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</si>
  <si>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</si>
  <si>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</si>
  <si>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</si>
  <si>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</si>
  <si>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</si>
  <si>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</si>
  <si>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</si>
  <si>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</si>
  <si>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</si>
  <si>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</si>
  <si>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</si>
  <si>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</si>
  <si>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</si>
  <si>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</si>
  <si>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</si>
  <si>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</si>
  <si>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</si>
  <si>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</si>
  <si>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</si>
  <si>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</si>
  <si>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</si>
  <si>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</si>
  <si>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</si>
  <si>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</si>
  <si>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</si>
  <si>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</si>
  <si>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</si>
  <si>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</si>
  <si>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</si>
  <si>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</si>
  <si>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</si>
  <si>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</si>
  <si>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</si>
  <si>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</si>
  <si>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</si>
  <si>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</si>
  <si>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</si>
  <si>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</si>
  <si>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</si>
  <si>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</si>
  <si>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</si>
  <si>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</si>
  <si>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</si>
  <si>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</si>
  <si>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</si>
  <si>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</si>
  <si>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</si>
  <si>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</si>
  <si>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</si>
  <si>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</si>
  <si>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</si>
  <si>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</si>
  <si>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</si>
  <si>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</si>
  <si>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</si>
  <si>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</si>
  <si>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</si>
  <si>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</si>
  <si>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</si>
  <si>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</si>
  <si>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</si>
  <si>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</si>
  <si>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</si>
  <si>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</si>
  <si>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</si>
  <si>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</si>
  <si>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</si>
  <si>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</si>
  <si>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</si>
  <si>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</si>
  <si>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</si>
  <si>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</si>
  <si>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</si>
  <si>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</si>
  <si>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</si>
  <si>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</si>
  <si>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</si>
  <si>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</si>
  <si>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</si>
  <si>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</si>
  <si>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</si>
  <si>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</si>
  <si>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</si>
  <si>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</si>
  <si>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</si>
  <si>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</si>
  <si>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</si>
  <si>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</si>
  <si>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</si>
  <si>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</si>
  <si>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</si>
  <si>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</si>
  <si>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</si>
  <si>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</si>
  <si>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</si>
  <si>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</si>
  <si>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</si>
  <si>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</si>
  <si>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</si>
  <si>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</si>
  <si>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</si>
  <si>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</si>
  <si>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</si>
  <si>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</si>
  <si>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</si>
  <si>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</si>
  <si>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</si>
  <si>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</si>
  <si>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</si>
  <si>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</si>
  <si>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</si>
  <si>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</si>
  <si>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</si>
  <si>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</si>
  <si>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</si>
  <si>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</si>
  <si>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</si>
  <si>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</si>
  <si>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</si>
  <si>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</si>
  <si>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</si>
  <si>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</si>
  <si>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</si>
  <si>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</si>
  <si>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</si>
  <si>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</si>
  <si>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</si>
  <si>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</si>
  <si>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</si>
  <si>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</si>
  <si>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</si>
  <si>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</si>
  <si>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</si>
  <si>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</si>
  <si>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</si>
  <si>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</si>
  <si>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</si>
  <si>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</si>
  <si>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</si>
  <si>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</si>
  <si>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</si>
  <si>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</si>
  <si>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</si>
  <si>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</si>
  <si>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</si>
  <si>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</si>
  <si>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</si>
  <si>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</si>
  <si>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</si>
  <si>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</si>
  <si>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</si>
  <si>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</si>
  <si>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</si>
  <si>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</si>
  <si>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</si>
  <si>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</si>
  <si>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</si>
  <si>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</si>
  <si>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</si>
  <si>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</si>
  <si>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</si>
  <si>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</si>
  <si>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</si>
  <si>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</si>
  <si>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</si>
  <si>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</si>
  <si>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</si>
  <si>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</si>
  <si>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</si>
  <si>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</si>
  <si>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</si>
  <si>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</si>
  <si>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</si>
  <si>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</si>
  <si>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</si>
  <si>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</si>
  <si>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</si>
  <si>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</si>
  <si>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</si>
  <si>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</si>
  <si>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</si>
  <si>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</si>
  <si>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</si>
  <si>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</si>
  <si>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</si>
  <si>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</si>
  <si>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</si>
  <si>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</si>
  <si>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</si>
  <si>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</si>
  <si>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</si>
  <si>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</si>
  <si>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</si>
  <si>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</si>
  <si>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</si>
  <si>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</si>
  <si>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</si>
  <si>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</si>
  <si>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</si>
  <si>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</si>
  <si>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</si>
  <si>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</si>
  <si>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</si>
  <si>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</si>
  <si>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</si>
  <si>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</si>
  <si>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</si>
  <si>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</si>
  <si>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</si>
  <si>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</si>
  <si>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</si>
  <si>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</si>
  <si>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</si>
  <si>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</si>
  <si>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</si>
  <si>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</si>
  <si>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</si>
  <si>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</si>
  <si>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</si>
  <si>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</si>
  <si>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</si>
  <si>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</si>
  <si>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</si>
  <si>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</si>
  <si>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</si>
  <si>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</si>
  <si>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</si>
  <si>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</si>
  <si>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</si>
  <si>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</si>
  <si>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</si>
  <si>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</si>
  <si>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</si>
  <si>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</si>
  <si>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</si>
  <si>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</si>
  <si>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</si>
  <si>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</si>
  <si>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</si>
  <si>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</si>
  <si>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</si>
  <si>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</si>
  <si>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</si>
  <si>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</si>
  <si>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</si>
  <si>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</si>
  <si>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</si>
  <si>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</si>
  <si>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</si>
  <si>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</si>
  <si>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</si>
  <si>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</si>
  <si>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</si>
  <si>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</si>
  <si>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</si>
  <si>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</si>
  <si>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</si>
  <si>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</si>
  <si>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</si>
  <si>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</si>
  <si>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</si>
  <si>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</si>
  <si>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</si>
  <si>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</si>
  <si>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</si>
  <si>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</si>
  <si>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</si>
  <si>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</si>
  <si>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</si>
  <si>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</si>
  <si>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</si>
  <si>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</si>
  <si>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</si>
  <si>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</si>
  <si>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</si>
  <si>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</si>
  <si>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</si>
  <si>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</si>
  <si>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</si>
  <si>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</si>
  <si>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</si>
  <si>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</si>
  <si>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</si>
  <si>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</si>
  <si>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</si>
  <si>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</si>
  <si>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</si>
  <si>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</si>
  <si>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</si>
  <si>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</si>
  <si>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</si>
  <si>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</si>
  <si>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</si>
  <si>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</si>
  <si>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</si>
  <si>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</si>
  <si>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</si>
  <si>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</si>
  <si>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</si>
  <si>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</si>
  <si>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</si>
  <si>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</si>
  <si>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</si>
  <si>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</si>
  <si>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</si>
  <si>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</si>
  <si>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</si>
  <si>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</si>
  <si>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</si>
  <si>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</si>
  <si>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</si>
  <si>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</si>
  <si>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</si>
  <si>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</si>
  <si>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</si>
  <si>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</si>
  <si>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</si>
  <si>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</si>
  <si>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</si>
  <si>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</si>
  <si>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</si>
  <si>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</si>
  <si>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</si>
  <si>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</si>
  <si>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</si>
  <si>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</si>
  <si>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</si>
  <si>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</si>
  <si>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</si>
  <si>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</si>
  <si>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</si>
  <si>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</si>
  <si>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</si>
  <si>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</si>
  <si>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</si>
  <si>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</si>
  <si>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</si>
  <si>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</si>
  <si>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</si>
  <si>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</si>
  <si>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</si>
  <si>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</si>
  <si>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</si>
  <si>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</si>
  <si>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</si>
  <si>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</si>
  <si>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</si>
  <si>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</si>
  <si>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</si>
  <si>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</si>
  <si>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</si>
  <si>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</si>
  <si>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</si>
  <si>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</si>
  <si>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</si>
  <si>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</si>
  <si>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</si>
  <si>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</si>
  <si>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</si>
  <si>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</si>
  <si>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</si>
  <si>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</si>
  <si>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</si>
  <si>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</si>
  <si>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</si>
  <si>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</si>
  <si>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</si>
  <si>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</si>
  <si>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</si>
  <si>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</si>
  <si>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</si>
  <si>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</si>
  <si>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</si>
  <si>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</si>
  <si>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</si>
  <si>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</si>
  <si>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</si>
  <si>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</si>
  <si>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</si>
  <si>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</si>
  <si>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</si>
  <si>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</si>
  <si>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</si>
  <si>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</si>
  <si>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</si>
  <si>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</si>
  <si>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</si>
  <si>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</si>
  <si>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</si>
  <si>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</si>
  <si>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</si>
  <si>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</si>
  <si>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</si>
  <si>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</si>
  <si>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</si>
  <si>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</si>
  <si>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</si>
  <si>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</si>
  <si>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</si>
  <si>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</si>
  <si>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</si>
  <si>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</si>
  <si>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</si>
  <si>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</si>
  <si>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</si>
  <si>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</si>
  <si>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</si>
  <si>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</si>
  <si>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</si>
  <si>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</si>
  <si>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</si>
  <si>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</si>
  <si>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</si>
  <si>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</si>
  <si>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</si>
  <si>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</si>
  <si>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</si>
  <si>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</si>
  <si>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</si>
  <si>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</si>
  <si>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</si>
  <si>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</si>
  <si>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</si>
  <si>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</si>
  <si>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</si>
  <si>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</si>
  <si>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</si>
  <si>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</si>
  <si>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</si>
  <si>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</si>
  <si>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</si>
  <si>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</si>
  <si>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</si>
  <si>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</si>
  <si>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</si>
  <si>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</si>
  <si>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</si>
  <si>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</si>
  <si>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</si>
  <si>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</si>
  <si>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</si>
  <si>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</si>
  <si>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</si>
  <si>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</si>
  <si>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</si>
  <si>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</si>
  <si>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</si>
  <si>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</si>
  <si>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</si>
  <si>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</si>
  <si>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</si>
  <si>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</si>
  <si>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</si>
  <si>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</si>
  <si>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</si>
  <si>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</si>
  <si>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</si>
  <si>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</si>
  <si>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</si>
  <si>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</si>
  <si>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</si>
  <si>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</si>
  <si>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</si>
  <si>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</si>
  <si>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</si>
  <si>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</si>
  <si>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</si>
  <si>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</si>
  <si>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</si>
  <si>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</si>
  <si>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</si>
  <si>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</si>
  <si>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</si>
  <si>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</si>
  <si>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</si>
  <si>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</si>
  <si>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</si>
  <si>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</si>
  <si>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</si>
  <si>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</si>
  <si>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</si>
  <si>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</si>
  <si>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</si>
  <si>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</si>
  <si>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</si>
  <si>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</si>
  <si>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</si>
  <si>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</si>
  <si>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</si>
  <si>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</si>
  <si>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</si>
  <si>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</si>
  <si>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</si>
  <si>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</si>
  <si>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</si>
  <si>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</si>
  <si>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</si>
  <si>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</si>
  <si>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</si>
  <si>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</si>
  <si>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</si>
  <si>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</si>
  <si>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</si>
  <si>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</si>
  <si>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</si>
  <si>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</si>
  <si>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</si>
  <si>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</si>
  <si>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</si>
  <si>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</si>
  <si>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</si>
  <si>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</si>
  <si>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</si>
  <si>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</si>
  <si>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</si>
  <si>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</si>
  <si>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</si>
  <si>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</si>
  <si>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</si>
  <si>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</si>
  <si>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</si>
  <si>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</si>
  <si>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</si>
  <si>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</si>
  <si>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</si>
  <si>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</si>
  <si>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</si>
  <si>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</si>
  <si>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</si>
  <si>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</si>
  <si>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</si>
  <si>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</si>
  <si>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</si>
  <si>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</si>
  <si>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</si>
  <si>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</si>
  <si>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</si>
  <si>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</si>
  <si>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</si>
  <si>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</si>
  <si>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</si>
  <si>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</si>
  <si>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</si>
  <si>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</si>
  <si>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</si>
  <si>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</si>
  <si>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</si>
  <si>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</si>
  <si>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</si>
  <si>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</si>
  <si>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</si>
  <si>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</si>
  <si>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</si>
  <si>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</si>
  <si>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</si>
  <si>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</si>
  <si>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</si>
  <si>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</si>
  <si>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</si>
  <si>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</si>
  <si>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</si>
  <si>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</si>
  <si>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</si>
  <si>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</si>
  <si>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</si>
  <si>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</si>
  <si>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</si>
  <si>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</si>
  <si>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</si>
  <si>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</si>
  <si>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</si>
  <si>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</si>
  <si>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</si>
  <si>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</si>
  <si>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</si>
  <si>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</si>
  <si>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</si>
  <si>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</si>
  <si>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</si>
  <si>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</si>
  <si>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</si>
  <si>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</si>
  <si>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</si>
  <si>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</si>
  <si>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</si>
  <si>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</si>
  <si>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</si>
  <si>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</si>
  <si>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</si>
  <si>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</si>
  <si>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</si>
  <si>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</si>
  <si>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</si>
  <si>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</si>
  <si>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</si>
  <si>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</si>
  <si>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</si>
  <si>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</si>
  <si>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</si>
  <si>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</si>
  <si>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</si>
  <si>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</si>
  <si>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</si>
  <si>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</si>
  <si>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</si>
  <si>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</si>
  <si>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</si>
  <si>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</si>
  <si>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</si>
  <si>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</si>
  <si>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</si>
  <si>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</si>
  <si>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</si>
  <si>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</si>
  <si>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</si>
  <si>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</si>
  <si>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</si>
  <si>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</si>
  <si>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</si>
  <si>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</si>
  <si>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</si>
  <si>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</si>
  <si>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</si>
  <si>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</si>
  <si>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</si>
  <si>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</si>
  <si>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</si>
  <si>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</si>
  <si>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</si>
  <si>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</si>
  <si>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</si>
  <si>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</si>
  <si>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</si>
  <si>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</si>
  <si>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</si>
  <si>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</si>
  <si>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</si>
  <si>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</si>
  <si>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</si>
  <si>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</si>
  <si>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</si>
  <si>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</si>
  <si>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</si>
  <si>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</si>
  <si>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</si>
  <si>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</si>
  <si>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</si>
  <si>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</si>
  <si>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</si>
  <si>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</si>
  <si>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</si>
  <si>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</si>
  <si>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</si>
  <si>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</si>
  <si>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</si>
  <si>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</si>
  <si>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</si>
  <si>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</si>
  <si>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</si>
  <si>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</si>
  <si>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</si>
  <si>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</si>
  <si>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</si>
  <si>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</si>
  <si>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</si>
  <si>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</si>
  <si>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</si>
  <si>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</si>
  <si>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</si>
  <si>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</si>
  <si>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</si>
  <si>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</si>
  <si>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</si>
  <si>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</si>
  <si>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</si>
  <si>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</si>
  <si>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</si>
  <si>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</si>
  <si>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</si>
  <si>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</si>
  <si>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</si>
  <si>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</si>
  <si>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</si>
  <si>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</si>
  <si>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</si>
  <si>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</si>
  <si>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</si>
  <si>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</si>
  <si>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</si>
  <si>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</si>
  <si>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</si>
  <si>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</si>
  <si>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</si>
  <si>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</si>
  <si>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</si>
  <si>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</si>
  <si>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</si>
  <si>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</si>
  <si>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</si>
  <si>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</si>
  <si>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</si>
  <si>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</si>
  <si>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</si>
  <si>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</si>
  <si>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</si>
  <si>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</si>
  <si>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</si>
  <si>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</si>
  <si>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</si>
  <si>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</si>
  <si>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</si>
  <si>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</si>
  <si>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</si>
  <si>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</si>
  <si>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</si>
  <si>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</si>
  <si>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</si>
  <si>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</si>
  <si>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</si>
  <si>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</si>
  <si>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</si>
  <si>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</si>
  <si>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</si>
  <si>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</si>
  <si>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</si>
  <si>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</si>
  <si>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</si>
  <si>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</si>
  <si>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</si>
  <si>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</si>
  <si>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</si>
  <si>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</si>
  <si>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</si>
  <si>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</si>
  <si>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</si>
  <si>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</si>
  <si>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</si>
  <si>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</si>
  <si>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</si>
  <si>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</si>
  <si>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</si>
  <si>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</si>
  <si>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</si>
  <si>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</si>
  <si>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</si>
  <si>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</si>
  <si>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</si>
  <si>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</si>
  <si>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</si>
  <si>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</si>
  <si>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</si>
  <si>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</si>
  <si>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</si>
  <si>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</si>
  <si>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</si>
  <si>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</si>
  <si>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</si>
  <si>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</si>
  <si>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</si>
  <si>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</si>
  <si>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</si>
  <si>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</si>
  <si>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</si>
  <si>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</si>
  <si>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</si>
  <si>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</si>
  <si>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</si>
  <si>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</si>
  <si>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</si>
  <si>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</si>
  <si>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</si>
  <si>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</si>
  <si>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</si>
  <si>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</si>
  <si>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</si>
  <si>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</si>
  <si>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</si>
  <si>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</si>
  <si>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</si>
  <si>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</si>
  <si>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</si>
  <si>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</si>
  <si>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</si>
  <si>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</si>
  <si>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</si>
  <si>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</si>
  <si>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</si>
  <si>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</si>
  <si>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</si>
  <si>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</si>
  <si>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</si>
  <si>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</si>
  <si>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</si>
  <si>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</si>
  <si>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</si>
  <si>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</si>
  <si>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</si>
  <si>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</si>
  <si>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</si>
  <si>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</si>
  <si>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</si>
  <si>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</si>
  <si>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</si>
  <si>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</si>
  <si>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</si>
  <si>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</si>
  <si>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</si>
  <si>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</si>
  <si>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</si>
  <si>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</si>
  <si>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</si>
  <si>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</si>
  <si>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</si>
  <si>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</si>
  <si>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</si>
  <si>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</si>
  <si>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</si>
  <si>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</si>
  <si>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</si>
  <si>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</si>
  <si>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</si>
  <si>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</si>
  <si>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</si>
  <si>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</si>
  <si>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</si>
  <si>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</si>
  <si>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</si>
  <si>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</si>
  <si>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</si>
  <si>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</si>
  <si>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</si>
  <si>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</si>
  <si>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</si>
  <si>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</si>
  <si>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</si>
  <si>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</si>
  <si>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</si>
  <si>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</si>
  <si>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</si>
  <si>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</si>
  <si>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</si>
  <si>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</si>
  <si>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</si>
  <si>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</si>
  <si>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</si>
  <si>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</si>
  <si>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</si>
  <si>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</si>
  <si>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</si>
  <si>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</si>
  <si>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</si>
  <si>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</si>
  <si>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</si>
  <si>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</si>
  <si>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</si>
  <si>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</si>
  <si>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</si>
  <si>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</si>
  <si>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</si>
  <si>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</si>
  <si>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</si>
  <si>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</si>
  <si>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</si>
  <si>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</si>
  <si>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</si>
  <si>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</si>
  <si>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</si>
  <si>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</si>
  <si>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</si>
  <si>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</si>
  <si>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</si>
  <si>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</si>
  <si>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</si>
  <si>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</si>
  <si>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</si>
  <si>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</si>
  <si>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</si>
  <si>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</si>
  <si>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</si>
  <si>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</si>
  <si>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</si>
  <si>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</si>
  <si>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</si>
  <si>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</si>
  <si>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</si>
  <si>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</si>
  <si>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</si>
  <si>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</si>
  <si>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</si>
  <si>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</si>
  <si>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</si>
  <si>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</si>
  <si>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</si>
  <si>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</si>
  <si>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</si>
  <si>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</si>
  <si>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</si>
  <si>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</si>
  <si>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</si>
  <si>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</si>
  <si>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</si>
  <si>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</si>
  <si>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</si>
  <si>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</si>
  <si>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</si>
  <si>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</si>
  <si>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</si>
  <si>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</si>
  <si>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</si>
  <si>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</si>
  <si>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</si>
  <si>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</si>
  <si>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</si>
  <si>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</si>
  <si>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</si>
  <si>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</si>
  <si>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</si>
  <si>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</si>
  <si>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</si>
  <si>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</si>
  <si>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</si>
  <si>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</si>
  <si>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</si>
  <si>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</si>
  <si>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</si>
  <si>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</si>
  <si>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</si>
  <si>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</si>
  <si>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</si>
  <si>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</si>
  <si>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</si>
  <si>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</si>
  <si>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</si>
  <si>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</si>
  <si>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</si>
  <si>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</si>
  <si>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</si>
  <si>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</si>
  <si>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</si>
  <si>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</si>
  <si>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</si>
  <si>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</si>
  <si>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</si>
  <si>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</si>
  <si>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</si>
  <si>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</si>
  <si>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</si>
  <si>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</si>
  <si>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</si>
  <si>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</si>
  <si>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</si>
  <si>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</si>
  <si>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</si>
  <si>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</si>
  <si>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</si>
  <si>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</si>
  <si>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</si>
  <si>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</si>
  <si>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</si>
  <si>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</si>
  <si>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</si>
  <si>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</si>
  <si>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</si>
  <si>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</si>
  <si>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</si>
  <si>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</si>
  <si>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</si>
  <si>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</si>
  <si>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</si>
  <si>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</si>
  <si>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</si>
  <si>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</si>
  <si>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</si>
  <si>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</si>
  <si>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</si>
  <si>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</si>
  <si>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</si>
  <si>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</si>
  <si>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</si>
  <si>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</si>
  <si>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</si>
  <si>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</si>
  <si>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</si>
  <si>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</si>
  <si>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</si>
  <si>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</si>
  <si>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</si>
  <si>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</si>
  <si>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</si>
  <si>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</si>
  <si>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</si>
  <si>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</si>
  <si>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</si>
  <si>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</si>
  <si>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</si>
  <si>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</si>
  <si>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</si>
  <si>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</si>
  <si>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</si>
  <si>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</si>
  <si>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</si>
  <si>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</si>
  <si>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</si>
  <si>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</si>
  <si>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</si>
  <si>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</si>
  <si>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</si>
  <si>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</si>
  <si>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</si>
  <si>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</si>
  <si>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</si>
  <si>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</si>
  <si>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</si>
  <si>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</si>
  <si>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</si>
  <si>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</si>
  <si>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</si>
  <si>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</si>
  <si>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</si>
  <si>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</si>
  <si>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</si>
  <si>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</si>
  <si>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</si>
  <si>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</si>
  <si>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</si>
  <si>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</si>
  <si>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</si>
  <si>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</si>
  <si>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</si>
  <si>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</si>
  <si>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</si>
  <si>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</si>
  <si>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</si>
  <si>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</si>
  <si>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</si>
  <si>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</si>
  <si>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</si>
  <si>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</si>
  <si>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</si>
  <si>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</si>
  <si>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</si>
  <si>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</si>
  <si>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</si>
  <si>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</si>
  <si>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</si>
  <si>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</si>
  <si>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</si>
  <si>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</si>
  <si>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</si>
  <si>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</si>
  <si>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</si>
  <si>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</si>
  <si>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</si>
  <si>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</si>
  <si>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</si>
  <si>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</si>
  <si>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</si>
  <si>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</si>
  <si>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</si>
  <si>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</si>
  <si>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</si>
  <si>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</si>
  <si>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</si>
  <si>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</si>
  <si>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</si>
  <si>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</si>
  <si>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</si>
  <si>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</si>
  <si>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</si>
  <si>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</si>
  <si>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</si>
  <si>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</si>
  <si>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</si>
  <si>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</si>
  <si>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</si>
  <si>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</si>
  <si>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</si>
  <si>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</si>
  <si>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</si>
  <si>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</si>
  <si>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</si>
  <si>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</si>
  <si>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</si>
  <si>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</si>
  <si>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</si>
  <si>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</si>
  <si>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</si>
  <si>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</si>
  <si>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</si>
  <si>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</si>
  <si>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</si>
  <si>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</si>
  <si>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</si>
  <si>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</si>
  <si>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</si>
  <si>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</si>
  <si>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</si>
  <si>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</si>
  <si>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</si>
  <si>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</si>
  <si>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</si>
  <si>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</si>
  <si>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</si>
  <si>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</si>
  <si>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</si>
  <si>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</si>
  <si>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</si>
  <si>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</si>
  <si>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</si>
  <si>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</si>
  <si>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</si>
  <si>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</si>
  <si>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</si>
  <si>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</si>
  <si>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</si>
  <si>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</si>
  <si>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</si>
  <si>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</si>
  <si>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</si>
  <si>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</si>
  <si>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</si>
  <si>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</si>
  <si>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</si>
  <si>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</si>
  <si>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</si>
  <si>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</si>
  <si>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</si>
  <si>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</si>
  <si>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</si>
  <si>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</si>
  <si>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</si>
  <si>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</si>
  <si>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</si>
  <si>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</si>
  <si>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</si>
  <si>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</si>
  <si>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</si>
  <si>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</si>
  <si>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</si>
  <si>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</si>
  <si>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</si>
  <si>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</si>
  <si>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</si>
  <si>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</si>
  <si>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</si>
  <si>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</si>
  <si>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</si>
  <si>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</si>
  <si>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</si>
  <si>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</si>
  <si>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</si>
  <si>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</si>
  <si>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</si>
  <si>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</si>
  <si>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</si>
  <si>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</si>
  <si>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</si>
  <si>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</si>
  <si>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</si>
  <si>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</si>
  <si>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</si>
  <si>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</si>
  <si>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</si>
  <si>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</si>
  <si>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</si>
  <si>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</si>
  <si>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</si>
  <si>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</si>
  <si>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</si>
  <si>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</si>
  <si>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</si>
  <si>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</si>
  <si>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</si>
  <si>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</si>
  <si>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</si>
  <si>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</si>
  <si>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</si>
  <si>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</si>
  <si>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</si>
  <si>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</si>
  <si>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</si>
  <si>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</si>
  <si>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</si>
  <si>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</si>
  <si>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</si>
  <si>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</si>
  <si>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</si>
  <si>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</si>
  <si>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</si>
  <si>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</si>
  <si>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</si>
  <si>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</si>
  <si>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</si>
  <si>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</si>
  <si>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</si>
  <si>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</si>
  <si>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</si>
  <si>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</si>
  <si>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</si>
  <si>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</si>
  <si>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</si>
  <si>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</si>
  <si>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</si>
  <si>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</si>
  <si>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</si>
  <si>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</si>
  <si>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</si>
  <si>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</si>
  <si>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</si>
  <si>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</si>
  <si>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</si>
  <si>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</si>
  <si>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</si>
  <si>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</si>
  <si>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</si>
  <si>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</si>
  <si>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</si>
  <si>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</si>
  <si>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</si>
  <si>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</si>
  <si>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</si>
  <si>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</si>
  <si>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</si>
  <si>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</si>
  <si>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</si>
  <si>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</si>
  <si>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</si>
  <si>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</si>
  <si>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</si>
  <si>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</si>
  <si>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</si>
  <si>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</si>
  <si>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</si>
  <si>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</si>
  <si>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</si>
  <si>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</si>
  <si>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</si>
  <si>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</si>
  <si>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</si>
  <si>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</si>
  <si>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</si>
  <si>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</si>
  <si>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</si>
  <si>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</si>
  <si>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</si>
  <si>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</si>
  <si>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</si>
  <si>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</si>
  <si>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</si>
  <si>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</si>
  <si>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</si>
  <si>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</si>
  <si>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</si>
  <si>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</si>
  <si>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</si>
  <si>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</si>
  <si>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</si>
  <si>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</si>
  <si>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</si>
  <si>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</si>
  <si>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</si>
  <si>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</si>
  <si>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</si>
  <si>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</si>
  <si>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</si>
  <si>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</si>
  <si>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</si>
  <si>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</si>
  <si>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</si>
  <si>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</si>
  <si>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</si>
  <si>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</si>
  <si>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</si>
  <si>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</si>
  <si>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</si>
  <si>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</si>
  <si>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</si>
  <si>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</si>
  <si>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</si>
  <si>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</si>
  <si>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</si>
  <si>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</si>
  <si>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</si>
  <si>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</si>
  <si>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</si>
  <si>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</si>
  <si>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</si>
  <si>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</si>
  <si>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</si>
  <si>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</si>
  <si>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</si>
  <si>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</si>
  <si>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</si>
  <si>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</si>
  <si>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</si>
  <si>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</si>
  <si>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</si>
  <si>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</si>
  <si>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</si>
  <si>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</si>
  <si>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</si>
  <si>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</si>
  <si>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</si>
  <si>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</si>
  <si>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</si>
  <si>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</si>
  <si>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</si>
  <si>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</si>
  <si>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</si>
  <si>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</si>
  <si>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</si>
  <si>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</si>
  <si>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</si>
  <si>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</si>
  <si>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</si>
  <si>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</si>
  <si>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</si>
  <si>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</si>
  <si>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</si>
  <si>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</si>
  <si>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</si>
  <si>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</si>
  <si>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</si>
  <si>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</si>
  <si>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</si>
  <si>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</si>
  <si>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</si>
  <si>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</si>
  <si>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</si>
  <si>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</si>
  <si>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</si>
  <si>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</si>
  <si>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</si>
  <si>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</si>
  <si>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</si>
  <si>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</si>
  <si>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</si>
  <si>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</si>
  <si>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</si>
  <si>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</si>
  <si>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</si>
  <si>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</si>
  <si>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</si>
  <si>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</si>
  <si>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</si>
  <si>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</si>
  <si>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</si>
  <si>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</si>
  <si>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</si>
  <si>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</si>
  <si>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</si>
  <si>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</si>
  <si>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</si>
  <si>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</si>
  <si>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</si>
  <si>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</si>
  <si>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</si>
  <si>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</si>
  <si>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</si>
  <si>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</si>
  <si>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</si>
  <si>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</si>
  <si>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</si>
  <si>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</si>
  <si>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</si>
  <si>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</si>
  <si>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</si>
  <si>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</si>
  <si>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</si>
  <si>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</si>
  <si>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</si>
  <si>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</si>
  <si>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</si>
  <si>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</si>
  <si>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</si>
  <si>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</si>
  <si>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</si>
  <si>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</si>
  <si>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</si>
  <si>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</si>
  <si>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</si>
  <si>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</si>
  <si>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</si>
  <si>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</si>
  <si>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</si>
  <si>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</si>
  <si>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</si>
  <si>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</si>
  <si>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</si>
  <si>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</si>
  <si>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</si>
  <si>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</si>
  <si>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</si>
  <si>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</si>
  <si>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</si>
  <si>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</si>
  <si>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</si>
  <si>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</si>
  <si>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</si>
  <si>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</si>
  <si>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</si>
  <si>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</si>
  <si>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</si>
  <si>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</si>
  <si>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</si>
  <si>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</si>
  <si>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</si>
  <si>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</si>
  <si>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</si>
  <si>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</si>
  <si>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</si>
  <si>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</si>
  <si>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</si>
  <si>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</si>
  <si>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</si>
  <si>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</si>
  <si>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</si>
  <si>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</si>
  <si>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</si>
  <si>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</si>
  <si>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</si>
  <si>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</si>
  <si>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</si>
  <si>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</si>
  <si>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</si>
  <si>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</si>
  <si>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</si>
  <si>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</si>
  <si>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</si>
  <si>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</si>
  <si>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</si>
  <si>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</si>
  <si>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</si>
  <si>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</si>
  <si>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</si>
  <si>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</si>
  <si>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</si>
  <si>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</si>
  <si>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</si>
  <si>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</si>
  <si>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</si>
  <si>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</si>
  <si>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</si>
  <si>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</si>
  <si>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</si>
  <si>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</si>
  <si>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</si>
  <si>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</si>
  <si>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</si>
  <si>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</si>
  <si>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</si>
  <si>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</si>
  <si>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</si>
  <si>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</si>
  <si>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</si>
  <si>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</si>
  <si>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</si>
  <si>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</si>
  <si>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</si>
  <si>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</si>
  <si>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</si>
  <si>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</si>
  <si>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</si>
  <si>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</si>
  <si>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</si>
  <si>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</si>
  <si>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</si>
  <si>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</si>
  <si>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</si>
  <si>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</si>
  <si>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</si>
  <si>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</si>
  <si>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</si>
  <si>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</si>
  <si>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</si>
  <si>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</si>
  <si>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</si>
  <si>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</si>
  <si>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</si>
  <si>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</si>
  <si>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</si>
  <si>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</si>
  <si>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</si>
  <si>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</si>
  <si>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</si>
  <si>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</si>
  <si>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</si>
  <si>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</si>
  <si>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</si>
  <si>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</si>
  <si>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</si>
  <si>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</si>
  <si>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</si>
  <si>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</si>
  <si>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</si>
  <si>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</si>
  <si>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</si>
  <si>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</si>
  <si>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</si>
  <si>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</si>
  <si>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</si>
  <si>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</si>
  <si>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</si>
  <si>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</si>
  <si>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</si>
  <si>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</si>
  <si>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</si>
  <si>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</si>
  <si>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</si>
  <si>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</si>
  <si>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</si>
  <si>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</si>
  <si>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</si>
  <si>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</si>
  <si>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</si>
  <si>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</si>
  <si>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</si>
  <si>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</si>
  <si>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</si>
  <si>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</si>
  <si>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</si>
  <si>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</si>
  <si>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</si>
  <si>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</si>
  <si>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</si>
  <si>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</si>
  <si>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</si>
  <si>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</si>
  <si>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</si>
  <si>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</si>
  <si>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</si>
  <si>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</si>
  <si>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</si>
  <si>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</si>
  <si>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</si>
  <si>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</si>
  <si>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</si>
  <si>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</si>
  <si>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</si>
  <si>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</si>
  <si>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</si>
  <si>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</si>
  <si>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</si>
  <si>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</si>
  <si>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</si>
  <si>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</si>
  <si>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</si>
  <si>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</si>
  <si>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</si>
  <si>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</si>
  <si>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</si>
  <si>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</si>
  <si>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</si>
  <si>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</si>
  <si>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</si>
  <si>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</si>
  <si>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</si>
  <si>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</si>
  <si>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</si>
  <si>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</si>
  <si>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</si>
  <si>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</si>
  <si>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</si>
  <si>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</si>
  <si>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</si>
  <si>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</si>
  <si>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</si>
  <si>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</si>
  <si>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</si>
  <si>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</si>
  <si>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</si>
  <si>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</si>
  <si>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</si>
  <si>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</si>
  <si>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</si>
  <si>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</si>
  <si>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</si>
  <si>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</si>
  <si>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</si>
  <si>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</si>
  <si>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</si>
  <si>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</si>
  <si>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</si>
  <si>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</si>
  <si>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</si>
  <si>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</si>
  <si>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</si>
  <si>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</si>
  <si>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</si>
  <si>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</si>
  <si>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</si>
  <si>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</si>
  <si>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</si>
  <si>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</si>
  <si>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</si>
  <si>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</si>
  <si>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</si>
  <si>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</si>
  <si>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</si>
  <si>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</si>
  <si>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</si>
  <si>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</si>
  <si>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</si>
  <si>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</si>
  <si>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</si>
  <si>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</si>
  <si>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</si>
  <si>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</si>
  <si>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</si>
  <si>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</si>
  <si>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</si>
  <si>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</si>
  <si>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</si>
  <si>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</si>
  <si>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</si>
  <si>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</si>
  <si>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</si>
  <si>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</si>
  <si>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</si>
  <si>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</si>
  <si>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</si>
  <si>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</si>
  <si>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</si>
  <si>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</si>
  <si>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</si>
  <si>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</si>
  <si>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</si>
  <si>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</si>
  <si>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</si>
  <si>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</si>
  <si>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</si>
  <si>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</si>
  <si>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</si>
  <si>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</si>
  <si>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</si>
  <si>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</si>
  <si>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</si>
  <si>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</si>
  <si>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</si>
  <si>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</si>
  <si>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</si>
  <si>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</si>
  <si>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</si>
  <si>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</si>
  <si>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</si>
  <si>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</si>
  <si>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</si>
  <si>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</si>
  <si>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</si>
  <si>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</si>
  <si>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</si>
  <si>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</si>
  <si>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</si>
  <si>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</si>
  <si>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</si>
  <si>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</si>
  <si>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</si>
  <si>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</si>
  <si>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</si>
  <si>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</si>
  <si>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</si>
  <si>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</si>
  <si>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</si>
  <si>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</si>
  <si>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</si>
  <si>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</si>
  <si>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</si>
  <si>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</si>
  <si>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</si>
  <si>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</si>
  <si>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</si>
  <si>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</si>
  <si>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</si>
  <si>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</si>
  <si>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</si>
  <si>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</si>
  <si>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</si>
  <si>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</si>
  <si>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</si>
  <si>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</si>
  <si>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</si>
  <si>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</si>
  <si>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</si>
  <si>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</si>
  <si>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</si>
  <si>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</si>
  <si>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</si>
  <si>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</si>
  <si>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</si>
  <si>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</si>
  <si>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</si>
  <si>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</si>
  <si>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</si>
  <si>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</si>
  <si>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</si>
  <si>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</si>
  <si>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</si>
  <si>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</si>
  <si>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</si>
  <si>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</si>
  <si>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</si>
  <si>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</si>
  <si>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</si>
  <si>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</si>
  <si>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</si>
  <si>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</si>
  <si>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</si>
  <si>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</si>
  <si>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</si>
  <si>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</si>
  <si>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</si>
  <si>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</si>
  <si>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</si>
  <si>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</si>
  <si>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</si>
  <si>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</si>
  <si>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</si>
  <si>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</si>
  <si>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</si>
  <si>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</si>
  <si>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</si>
  <si>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</si>
  <si>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</si>
  <si>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</si>
  <si>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</si>
  <si>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</si>
  <si>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</si>
  <si>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</si>
  <si>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</si>
  <si>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</si>
  <si>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</si>
  <si>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</si>
  <si>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</si>
  <si>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</si>
  <si>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</si>
  <si>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</si>
  <si>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</si>
  <si>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</si>
  <si>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</si>
  <si>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</si>
  <si>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</si>
  <si>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</si>
  <si>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</si>
  <si>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</si>
  <si>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</si>
  <si>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</si>
  <si>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</si>
  <si>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</si>
  <si>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</si>
  <si>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</si>
  <si>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</si>
  <si>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</si>
  <si>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</si>
  <si>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</si>
  <si>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</si>
  <si>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</si>
  <si>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</si>
  <si>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</si>
  <si>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</si>
  <si>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</si>
  <si>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</si>
  <si>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</si>
  <si>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</si>
  <si>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</si>
  <si>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</si>
  <si>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</si>
  <si>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</si>
  <si>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</si>
  <si>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</si>
  <si>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</si>
  <si>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</si>
  <si>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</si>
  <si>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</si>
  <si>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</si>
  <si>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</si>
  <si>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</si>
  <si>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</si>
  <si>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</si>
  <si>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</si>
  <si>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</si>
  <si>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</si>
  <si>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</si>
  <si>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</si>
  <si>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</si>
  <si>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</si>
  <si>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</si>
  <si>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</si>
  <si>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</si>
  <si>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</si>
  <si>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</si>
  <si>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</si>
  <si>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</si>
  <si>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</si>
  <si>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</si>
  <si>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</si>
  <si>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</si>
  <si>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</si>
  <si>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</si>
  <si>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</si>
  <si>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</si>
  <si>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</si>
  <si>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</si>
  <si>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</si>
  <si>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</si>
  <si>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</si>
  <si>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</si>
  <si>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</si>
  <si>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</si>
  <si>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</si>
  <si>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</si>
  <si>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</si>
  <si>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</si>
  <si>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</si>
  <si>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</si>
  <si>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</si>
  <si>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</si>
  <si>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</si>
  <si>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</si>
  <si>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</si>
  <si>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</si>
  <si>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</si>
  <si>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</si>
  <si>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</si>
  <si>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</si>
  <si>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</si>
  <si>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</si>
  <si>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</si>
  <si>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</si>
  <si>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</si>
  <si>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</si>
  <si>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</si>
  <si>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</si>
  <si>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</si>
  <si>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</si>
  <si>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</si>
  <si>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</si>
  <si>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</si>
  <si>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</si>
  <si>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</si>
  <si>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</si>
  <si>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</si>
  <si>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</si>
  <si>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</si>
  <si>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</si>
  <si>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</si>
  <si>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</si>
  <si>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</si>
  <si>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</si>
  <si>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</si>
  <si>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</si>
  <si>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</si>
  <si>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</si>
  <si>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</si>
  <si>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</si>
  <si>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</si>
  <si>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</si>
  <si>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</si>
  <si>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</si>
  <si>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</si>
  <si>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</si>
  <si>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</si>
  <si>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</si>
  <si>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</si>
  <si>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</si>
  <si>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</si>
  <si>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</si>
  <si>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</si>
  <si>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</si>
  <si>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</si>
  <si>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</si>
  <si>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</si>
  <si>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</si>
  <si>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</si>
  <si>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</si>
  <si>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</si>
  <si>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</si>
  <si>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</si>
  <si>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</si>
  <si>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</si>
  <si>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</si>
  <si>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</si>
  <si>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</si>
  <si>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</si>
  <si>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</si>
  <si>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</si>
  <si>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</si>
  <si>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</si>
  <si>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</si>
  <si>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</si>
  <si>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</si>
  <si>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</si>
  <si>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</si>
  <si>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</si>
  <si>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</si>
  <si>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</si>
  <si>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</si>
  <si>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</si>
  <si>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</si>
  <si>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</si>
  <si>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</si>
  <si>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</si>
  <si>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</si>
  <si>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</si>
  <si>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</si>
  <si>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</si>
  <si>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</si>
  <si>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</si>
  <si>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</si>
  <si>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</si>
  <si>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</si>
  <si>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</si>
  <si>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</si>
  <si>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</si>
  <si>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</si>
  <si>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</si>
  <si>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</si>
  <si>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</si>
  <si>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</si>
  <si>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</si>
  <si>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</si>
  <si>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</si>
  <si>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</si>
  <si>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</si>
  <si>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</si>
  <si>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</si>
  <si>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</si>
  <si>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</si>
  <si>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</si>
  <si>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</si>
  <si>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</si>
  <si>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</si>
  <si>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</si>
  <si>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</si>
  <si>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</si>
  <si>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</si>
  <si>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</si>
  <si>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</si>
  <si>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</si>
  <si>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</si>
  <si>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</si>
  <si>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</si>
  <si>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</si>
  <si>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</si>
  <si>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</si>
  <si>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</si>
  <si>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</si>
  <si>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</si>
  <si>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</si>
  <si>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</si>
  <si>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</si>
  <si>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</si>
  <si>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</si>
  <si>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</si>
  <si>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</si>
  <si>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</si>
  <si>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</si>
  <si>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</si>
  <si>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</si>
  <si>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</si>
  <si>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</si>
  <si>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</si>
  <si>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</si>
  <si>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</si>
  <si>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</si>
  <si>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</si>
  <si>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</si>
  <si>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</si>
  <si>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</si>
  <si>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</si>
  <si>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</si>
  <si>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</si>
  <si>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</si>
  <si>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</si>
  <si>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</si>
  <si>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</si>
  <si>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</si>
  <si>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</si>
  <si>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</si>
  <si>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</si>
  <si>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</si>
  <si>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</si>
  <si>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</si>
  <si>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</si>
  <si>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</si>
  <si>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</si>
  <si>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</si>
  <si>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</si>
  <si>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</si>
  <si>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</si>
  <si>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</si>
  <si>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</si>
  <si>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</si>
  <si>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</si>
  <si>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</si>
  <si>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</si>
  <si>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</si>
  <si>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</si>
  <si>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</si>
  <si>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</si>
  <si>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</si>
  <si>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</si>
  <si>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</si>
  <si>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</si>
  <si>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</si>
  <si>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</si>
  <si>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</si>
  <si>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</si>
  <si>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</si>
  <si>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</si>
  <si>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</si>
  <si>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</si>
  <si>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</si>
  <si>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</si>
  <si>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</si>
  <si>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</si>
  <si>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</si>
  <si>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</si>
  <si>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</si>
  <si>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</si>
  <si>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</si>
  <si>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</si>
  <si>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</si>
  <si>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</si>
  <si>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</si>
  <si>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</si>
  <si>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</si>
  <si>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</si>
  <si>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</si>
  <si>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</si>
  <si>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</si>
  <si>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</si>
  <si>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</si>
  <si>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</si>
  <si>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</si>
  <si>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</si>
  <si>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</si>
  <si>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</si>
  <si>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</si>
  <si>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</si>
  <si>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</si>
  <si>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</si>
  <si>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</si>
  <si>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</si>
  <si>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</si>
  <si>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</si>
  <si>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</si>
  <si>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</si>
  <si>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</si>
  <si>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</si>
  <si>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</si>
  <si>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</si>
  <si>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</si>
  <si>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</si>
  <si>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</si>
  <si>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</si>
  <si>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</si>
  <si>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</si>
  <si>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</si>
  <si>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</si>
  <si>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</si>
  <si>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</si>
  <si>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</si>
  <si>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</si>
  <si>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</si>
  <si>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</si>
  <si>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</si>
  <si>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</si>
  <si>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</si>
  <si>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</si>
  <si>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</si>
  <si>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</si>
  <si>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</si>
  <si>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</si>
  <si>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</si>
  <si>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</si>
  <si>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</si>
  <si>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</si>
  <si>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</si>
  <si>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</si>
  <si>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</si>
  <si>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</si>
  <si>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</si>
  <si>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</si>
  <si>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</si>
  <si>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</si>
  <si>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</si>
  <si>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</si>
  <si>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</si>
  <si>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</si>
  <si>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</si>
  <si>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</si>
  <si>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</si>
  <si>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</si>
  <si>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</si>
  <si>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</si>
  <si>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</si>
  <si>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</si>
  <si>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</si>
  <si>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</si>
  <si>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</si>
  <si>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</si>
  <si>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</si>
  <si>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</si>
  <si>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</si>
  <si>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</si>
  <si>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</si>
  <si>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</si>
  <si>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</si>
  <si>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</si>
  <si>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</si>
  <si>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</si>
  <si>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</si>
  <si>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</si>
  <si>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</si>
  <si>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</si>
  <si>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</si>
  <si>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</si>
  <si>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</si>
  <si>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</si>
  <si>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</si>
  <si>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</si>
  <si>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</si>
  <si>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</si>
  <si>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</si>
  <si>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</si>
  <si>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</si>
  <si>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</si>
  <si>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</si>
  <si>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</si>
  <si>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</si>
  <si>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</si>
  <si>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</si>
  <si>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</si>
  <si>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</si>
  <si>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</si>
  <si>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</si>
  <si>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</si>
  <si>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</si>
  <si>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</si>
  <si>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</si>
  <si>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</si>
  <si>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</si>
  <si>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</si>
  <si>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</si>
  <si>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</si>
  <si>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</si>
  <si>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</si>
  <si>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</si>
  <si>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</si>
  <si>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</si>
  <si>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</si>
  <si>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</si>
  <si>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</si>
  <si>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</si>
  <si>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</si>
  <si>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</si>
  <si>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</si>
  <si>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</si>
  <si>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</si>
  <si>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</si>
  <si>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</si>
  <si>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</si>
  <si>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</si>
  <si>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</si>
  <si>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</si>
  <si>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</si>
  <si>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</si>
  <si>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</si>
  <si>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</si>
  <si>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</si>
  <si>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</si>
  <si>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</si>
  <si>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</si>
  <si>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</si>
  <si>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</si>
  <si>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</si>
  <si>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</si>
  <si>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</si>
  <si>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</si>
  <si>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</si>
  <si>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</si>
  <si>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</si>
  <si>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</si>
  <si>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</si>
  <si>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</si>
  <si>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</si>
  <si>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</si>
  <si>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</si>
  <si>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</si>
  <si>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</si>
  <si>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</si>
  <si>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</si>
  <si>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</si>
  <si>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</si>
  <si>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</si>
  <si>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</si>
  <si>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</si>
  <si>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</si>
  <si>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</si>
  <si>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</si>
  <si>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</si>
  <si>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</si>
  <si>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</si>
  <si>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</si>
  <si>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</si>
  <si>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</si>
  <si>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</si>
  <si>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</si>
  <si>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</si>
  <si>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</si>
  <si>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</si>
  <si>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</si>
  <si>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</si>
  <si>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</si>
  <si>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</si>
  <si>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</si>
  <si>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</si>
  <si>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</si>
  <si>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</si>
  <si>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</si>
  <si>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</si>
  <si>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</si>
  <si>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</si>
  <si>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</si>
  <si>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</si>
  <si>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</si>
  <si>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</si>
  <si>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</si>
  <si>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</si>
  <si>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</si>
  <si>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</si>
  <si>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</si>
  <si>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</si>
  <si>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</si>
  <si>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</si>
  <si>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</si>
  <si>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</si>
  <si>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</si>
  <si>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</si>
  <si>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</si>
  <si>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</si>
  <si>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</si>
  <si>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</si>
  <si>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</si>
  <si>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</si>
  <si>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</si>
  <si>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</si>
  <si>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</si>
  <si>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</si>
  <si>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</si>
  <si>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</si>
  <si>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</si>
  <si>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</si>
  <si>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</si>
  <si>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</si>
  <si>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</si>
  <si>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</si>
  <si>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</si>
  <si>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</si>
  <si>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</si>
  <si>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</si>
  <si>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</si>
  <si>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</si>
  <si>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</si>
  <si>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</si>
  <si>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</si>
  <si>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</si>
  <si>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</si>
  <si>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</si>
  <si>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</si>
  <si>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</si>
  <si>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</si>
  <si>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</si>
  <si>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</si>
  <si>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</si>
  <si>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</si>
  <si>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</si>
  <si>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</si>
  <si>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</si>
  <si>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</si>
  <si>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</si>
  <si>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</si>
  <si>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</si>
  <si>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</si>
  <si>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</si>
  <si>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</si>
  <si>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</si>
  <si>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</si>
  <si>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</si>
  <si>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</si>
  <si>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</si>
  <si>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</si>
  <si>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</si>
  <si>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</si>
  <si>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</si>
  <si>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</si>
  <si>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</si>
  <si>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</si>
  <si>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</si>
  <si>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</si>
  <si>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</si>
  <si>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</si>
  <si>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</si>
  <si>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</si>
  <si>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</si>
  <si>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</si>
  <si>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</si>
  <si>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ومهان 65406 تا 1525</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</si>
  <si>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</si>
  <si>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</si>
  <si>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</si>
  <si>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</si>
  <si>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</si>
  <si>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</si>
  <si>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</si>
  <si>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</si>
  <si>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</si>
  <si>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</si>
  <si>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</si>
  <si>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</si>
  <si>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</si>
  <si>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</si>
  <si>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</si>
  <si>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</si>
  <si>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</si>
  <si>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</si>
  <si>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</si>
  <si>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</si>
  <si>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</si>
  <si>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</si>
  <si>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</si>
  <si>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</si>
  <si>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</si>
  <si>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</si>
  <si>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</si>
  <si>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</si>
  <si>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</si>
  <si>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</si>
  <si>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</si>
  <si>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</si>
  <si>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</si>
  <si>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</si>
  <si>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</si>
  <si>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</si>
  <si>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</si>
  <si>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</si>
  <si>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</si>
  <si>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</si>
  <si>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</si>
  <si>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</si>
  <si>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</si>
  <si>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</si>
  <si>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</si>
  <si>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</si>
  <si>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</si>
  <si>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</si>
  <si>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</si>
  <si>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</si>
  <si>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</si>
  <si>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</si>
  <si>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</si>
  <si>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</si>
  <si>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</si>
  <si>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</si>
  <si>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</si>
  <si>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</si>
  <si>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</si>
  <si>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</si>
  <si>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</si>
  <si>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</si>
  <si>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</si>
  <si>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</si>
  <si>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</si>
  <si>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</si>
  <si>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</si>
  <si>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</si>
  <si>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</si>
  <si>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</si>
  <si>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</si>
  <si>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</si>
  <si>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</si>
  <si>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</si>
  <si>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</si>
  <si>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</si>
  <si>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</si>
  <si>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</si>
  <si>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</si>
  <si>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</si>
  <si>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</si>
  <si>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</si>
  <si>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</si>
  <si>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</si>
  <si>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</si>
  <si>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</si>
  <si>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</si>
  <si>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</si>
  <si>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</si>
  <si>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</si>
  <si>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</si>
  <si>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</si>
  <si>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</si>
  <si>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</si>
  <si>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</si>
  <si>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</si>
  <si>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</si>
  <si>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</si>
  <si>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</si>
  <si>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</si>
  <si>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</si>
  <si>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</si>
  <si>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</si>
  <si>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</si>
  <si>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</si>
  <si>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10/9/1400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</si>
  <si>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</si>
  <si>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</si>
  <si>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</si>
  <si>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</si>
  <si>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</si>
  <si>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</si>
  <si>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</si>
  <si>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</si>
  <si>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</si>
  <si>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</si>
  <si>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</si>
  <si>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</si>
  <si>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</si>
  <si>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</si>
  <si>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</si>
  <si>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</si>
  <si>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</si>
  <si>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</si>
  <si>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</si>
  <si>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طلب نصف 44 قسط وام 50 میلیونی 24/9/1400</t>
  </si>
  <si>
    <t>پول نقد ایلیا</t>
  </si>
  <si>
    <t>وغدیر حساب ایلیا</t>
  </si>
  <si>
    <t>ومهان حساب ایلیا</t>
  </si>
  <si>
    <t>بدهی از حساب بورسی علی به ایلیا 5000 تا وغدیر</t>
  </si>
  <si>
    <t>5/10/1400</t>
  </si>
  <si>
    <t>وغدیر 9946 تا 1536</t>
  </si>
  <si>
    <t>تا الان 5000 تا فروختم 1529 و سکه خریدم 12.8</t>
  </si>
  <si>
    <t>وغدیر 1782 تا 1542</t>
  </si>
  <si>
    <t>6/10/1400</t>
  </si>
  <si>
    <t>وغدیر 128722 تا 1552</t>
  </si>
  <si>
    <t>مازاد سکه</t>
  </si>
  <si>
    <t>7/10/1400</t>
  </si>
  <si>
    <t>وغدیر 2970 تا 1532</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</si>
  <si>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</si>
  <si>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</si>
  <si>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</si>
  <si>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</si>
  <si>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</si>
  <si>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</si>
  <si>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</si>
  <si>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</si>
  <si>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</si>
  <si>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</si>
  <si>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</si>
  <si>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</si>
  <si>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</si>
  <si>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</si>
  <si>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</si>
  <si>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</si>
  <si>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</si>
  <si>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10860 تا 1495</t>
  </si>
  <si>
    <t>وغدیر 20346 تا 1451</t>
  </si>
  <si>
    <t>(--user-data-dir</t>
  </si>
  <si>
    <t>15/10/1400</t>
  </si>
  <si>
    <t>طلب نوسانگیری و مانده سکه 6584</t>
  </si>
  <si>
    <t>وغدیر 10295 تا 1455</t>
  </si>
  <si>
    <t>وغدیر 120744 تا 1445</t>
  </si>
  <si>
    <t>18/10/1400</t>
  </si>
  <si>
    <t>وغدیر 5656 تا 1440</t>
  </si>
  <si>
    <t>ومهان 65415 تا 432.8</t>
  </si>
  <si>
    <t>16/10/1400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</si>
</sst>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6637</v>
      </c>
      <c r="C1" s="40" t="s">
        <v>1329</v>
      </c>
      <c r="D1" s="40" t="s">
        <v>1330</v>
      </c>
      <c r="E1" s="40" t="s">
        <v>6636</v>
      </c>
      <c r="F1" s="40" t="s">
        <v>6635</v>
      </c>
      <c r="G1" s="40" t="s">
        <v>1331</v>
      </c>
      <c r="H1" s="40" t="s">
        <v>1332</v>
      </c>
      <c r="I1" s="40"/>
      <c r="J1" s="403"/>
      <c r="K1" s="403"/>
      <c r="L1" s="407"/>
    </row>
    <row r="2" spans="1:15">
      <c r="A2" s="40"/>
      <c r="B2" s="40"/>
      <c r="C2" s="40"/>
      <c r="D2" s="40"/>
      <c r="E2" s="40"/>
      <c r="F2" s="40"/>
      <c r="G2" s="40"/>
      <c r="H2" s="40"/>
      <c r="I2" s="40"/>
      <c r="J2" s="440"/>
      <c r="K2" s="440"/>
      <c r="L2" s="407"/>
    </row>
    <row r="3" spans="1:15">
      <c r="A3" s="40"/>
      <c r="B3" s="40"/>
      <c r="C3" s="40"/>
      <c r="D3" s="40"/>
      <c r="E3" s="40"/>
      <c r="F3" s="40"/>
      <c r="G3" s="40"/>
      <c r="H3" s="40"/>
      <c r="I3" s="40"/>
      <c r="J3" s="440"/>
      <c r="K3" s="440"/>
      <c r="L3" s="407"/>
    </row>
    <row r="4" spans="1:15">
      <c r="A4" s="406">
        <v>271110</v>
      </c>
      <c r="B4" s="406">
        <v>269660</v>
      </c>
      <c r="C4" s="40"/>
      <c r="D4" s="40"/>
      <c r="E4" s="40"/>
      <c r="F4" s="40"/>
      <c r="G4" s="40"/>
      <c r="H4" s="40"/>
      <c r="I4" s="40"/>
      <c r="J4" s="403"/>
      <c r="K4" s="403"/>
      <c r="L4" s="407"/>
    </row>
    <row r="5" spans="1:15">
      <c r="A5" s="406">
        <v>271110</v>
      </c>
      <c r="B5" s="406">
        <v>270550</v>
      </c>
      <c r="C5" s="270">
        <v>281380</v>
      </c>
      <c r="D5" s="270">
        <v>280240</v>
      </c>
      <c r="E5">
        <v>330</v>
      </c>
      <c r="F5" s="137">
        <v>1.1999999999999999E-3</v>
      </c>
      <c r="G5" s="203">
        <v>44508</v>
      </c>
      <c r="H5" t="s">
        <v>6979</v>
      </c>
      <c r="I5" s="40" t="s">
        <v>6633</v>
      </c>
      <c r="L5" s="40" t="str">
        <f t="shared" ref="L5:L36" si="0">CONCATENATE("USD",I5,TEXT(G5,"yyyymmdd"),I5,A334,I5,C5,I5,B334,I5,D5,I5,"1,1,1")</f>
        <v>USD,20211108,279840,281380,279700,280240,1,1,1</v>
      </c>
      <c r="N5" s="379"/>
    </row>
    <row r="6" spans="1:15">
      <c r="A6" s="406">
        <v>272810</v>
      </c>
      <c r="B6" s="406">
        <v>270050</v>
      </c>
      <c r="C6" s="270">
        <v>280080</v>
      </c>
      <c r="D6" s="270">
        <v>279910</v>
      </c>
      <c r="E6">
        <v>1670</v>
      </c>
      <c r="F6" s="137">
        <v>6.0000000000000001E-3</v>
      </c>
      <c r="G6" s="203">
        <v>44507</v>
      </c>
      <c r="H6" t="s">
        <v>6980</v>
      </c>
      <c r="I6" s="40" t="s">
        <v>6633</v>
      </c>
      <c r="L6" s="40" t="str">
        <f t="shared" si="0"/>
        <v>USD,20211107,278010,280080,277200,279910,1,1,1</v>
      </c>
    </row>
    <row r="7" spans="1:15">
      <c r="A7" s="406">
        <v>270860</v>
      </c>
      <c r="B7" s="406">
        <v>270850</v>
      </c>
      <c r="C7" s="270">
        <v>279580</v>
      </c>
      <c r="D7" s="270">
        <v>278240</v>
      </c>
      <c r="E7">
        <v>1730</v>
      </c>
      <c r="F7" s="137">
        <v>6.3E-3</v>
      </c>
      <c r="G7" s="203">
        <v>44506</v>
      </c>
      <c r="H7" t="s">
        <v>6981</v>
      </c>
      <c r="I7" s="40" t="s">
        <v>6633</v>
      </c>
      <c r="L7" s="40" t="str">
        <f t="shared" si="0"/>
        <v>USD,20211106,283180,279580,283100,278240,1,1,1</v>
      </c>
    </row>
    <row r="8" spans="1:15">
      <c r="A8" s="406">
        <v>273310</v>
      </c>
      <c r="B8" s="406">
        <v>270050</v>
      </c>
      <c r="C8" s="270">
        <v>277280</v>
      </c>
      <c r="D8" s="270">
        <v>276510</v>
      </c>
      <c r="E8">
        <v>2460</v>
      </c>
      <c r="F8" s="137">
        <v>8.8999999999999999E-3</v>
      </c>
      <c r="G8" s="203">
        <v>44504</v>
      </c>
      <c r="H8" t="s">
        <v>6982</v>
      </c>
      <c r="I8" s="40" t="s">
        <v>6633</v>
      </c>
      <c r="L8" s="40" t="str">
        <f t="shared" si="0"/>
        <v>USD,20211104,281760,277280,281400,276510,1,1,1</v>
      </c>
    </row>
    <row r="9" spans="1:15">
      <c r="A9" s="406">
        <v>273870</v>
      </c>
      <c r="B9" s="406">
        <v>272250</v>
      </c>
      <c r="C9" s="270">
        <v>279280</v>
      </c>
      <c r="D9" s="270">
        <v>278970</v>
      </c>
      <c r="E9">
        <v>2960</v>
      </c>
      <c r="F9" s="137">
        <v>1.0699999999999999E-2</v>
      </c>
      <c r="G9" s="203">
        <v>44503</v>
      </c>
      <c r="H9" t="s">
        <v>6983</v>
      </c>
      <c r="I9" s="40" t="s">
        <v>6633</v>
      </c>
      <c r="L9" s="40" t="str">
        <f t="shared" si="0"/>
        <v>USD,20211103,280230,279280,280200,278970,1,1,1</v>
      </c>
    </row>
    <row r="10" spans="1:15">
      <c r="A10" s="406">
        <v>273850</v>
      </c>
      <c r="B10" s="406">
        <v>269350</v>
      </c>
      <c r="C10" s="270">
        <v>276080</v>
      </c>
      <c r="D10" s="270">
        <v>276010</v>
      </c>
      <c r="E10">
        <v>940</v>
      </c>
      <c r="F10" s="137">
        <v>3.3999999999999998E-3</v>
      </c>
      <c r="G10" s="203">
        <v>44502</v>
      </c>
      <c r="H10" t="s">
        <v>6984</v>
      </c>
      <c r="I10" s="40" t="s">
        <v>6633</v>
      </c>
      <c r="L10" s="40" t="str">
        <f t="shared" si="0"/>
        <v>USD,20211102,,276080,,276010,1,1,1</v>
      </c>
      <c r="O10" t="s">
        <v>6634</v>
      </c>
    </row>
    <row r="11" spans="1:15">
      <c r="A11" s="406">
        <v>281890</v>
      </c>
      <c r="B11" s="406">
        <v>275490</v>
      </c>
      <c r="C11" s="270">
        <v>276380</v>
      </c>
      <c r="D11" s="270">
        <v>275070</v>
      </c>
      <c r="E11">
        <v>680</v>
      </c>
      <c r="F11" s="137">
        <v>2.5000000000000001E-3</v>
      </c>
      <c r="G11" s="203">
        <v>44501</v>
      </c>
      <c r="H11" t="s">
        <v>6985</v>
      </c>
      <c r="I11" s="40" t="s">
        <v>6633</v>
      </c>
      <c r="L11" s="40" t="str">
        <f t="shared" si="0"/>
        <v>USD,20211101,,276380,,275070,1,1,1</v>
      </c>
    </row>
    <row r="12" spans="1:15">
      <c r="A12" s="406">
        <v>282460</v>
      </c>
      <c r="B12" s="406">
        <v>281190</v>
      </c>
      <c r="C12" s="270">
        <v>276080</v>
      </c>
      <c r="D12" s="270">
        <v>275750</v>
      </c>
      <c r="E12">
        <v>390</v>
      </c>
      <c r="F12" s="137">
        <v>1.4E-3</v>
      </c>
      <c r="G12" s="203">
        <v>44500</v>
      </c>
      <c r="H12" t="s">
        <v>6986</v>
      </c>
      <c r="I12" s="40" t="s">
        <v>6633</v>
      </c>
      <c r="L12" s="40" t="str">
        <f t="shared" si="0"/>
        <v>USD,20211031,,276080,,275750,1,1,1</v>
      </c>
    </row>
    <row r="13" spans="1:15">
      <c r="A13" s="406">
        <v>279490</v>
      </c>
      <c r="B13" s="406">
        <v>277890</v>
      </c>
      <c r="C13" s="270">
        <v>276680</v>
      </c>
      <c r="D13" s="270">
        <v>276140</v>
      </c>
      <c r="E13">
        <v>430</v>
      </c>
      <c r="F13" s="137">
        <v>1.6000000000000001E-3</v>
      </c>
      <c r="G13" s="203">
        <v>44499</v>
      </c>
      <c r="H13" t="s">
        <v>6987</v>
      </c>
      <c r="I13" s="40" t="s">
        <v>6633</v>
      </c>
      <c r="L13" s="40" t="str">
        <f t="shared" si="0"/>
        <v>USD,20211030,,276680,,276140,1,1,1</v>
      </c>
    </row>
    <row r="14" spans="1:15">
      <c r="A14" s="406">
        <v>277530</v>
      </c>
      <c r="B14" s="406">
        <v>276790</v>
      </c>
      <c r="C14" s="270">
        <v>277080</v>
      </c>
      <c r="D14" s="270">
        <v>276570</v>
      </c>
      <c r="E14">
        <v>210</v>
      </c>
      <c r="F14" s="137">
        <v>8.0000000000000004E-4</v>
      </c>
      <c r="G14" s="203">
        <v>44497</v>
      </c>
      <c r="H14" t="s">
        <v>6988</v>
      </c>
      <c r="I14" s="40" t="s">
        <v>6633</v>
      </c>
      <c r="L14" s="40" t="str">
        <f t="shared" si="0"/>
        <v>USD,20211028,,277080,,276570,1,1,1</v>
      </c>
      <c r="N14" t="s">
        <v>25</v>
      </c>
    </row>
    <row r="15" spans="1:15">
      <c r="A15" s="406">
        <v>277190</v>
      </c>
      <c r="B15" s="406">
        <v>275690</v>
      </c>
      <c r="C15" s="270">
        <v>278080</v>
      </c>
      <c r="D15" s="270">
        <v>276780</v>
      </c>
      <c r="E15">
        <v>1010</v>
      </c>
      <c r="F15" s="137">
        <v>3.7000000000000002E-3</v>
      </c>
      <c r="G15" s="203">
        <v>44496</v>
      </c>
      <c r="H15" t="s">
        <v>6989</v>
      </c>
      <c r="I15" s="40" t="s">
        <v>6633</v>
      </c>
      <c r="L15" s="40" t="str">
        <f t="shared" si="0"/>
        <v>USD,20211027,,278080,,276780,1,1,1</v>
      </c>
    </row>
    <row r="16" spans="1:15">
      <c r="A16" s="406">
        <v>274390</v>
      </c>
      <c r="B16" s="406">
        <v>273690</v>
      </c>
      <c r="C16" s="270">
        <v>275780</v>
      </c>
      <c r="D16" s="270">
        <v>275770</v>
      </c>
      <c r="E16">
        <v>150</v>
      </c>
      <c r="F16" s="137">
        <v>5.0000000000000001E-4</v>
      </c>
      <c r="G16" s="203">
        <v>44495</v>
      </c>
      <c r="H16" t="s">
        <v>6990</v>
      </c>
      <c r="I16" s="40" t="s">
        <v>6633</v>
      </c>
      <c r="L16" s="40" t="str">
        <f t="shared" si="0"/>
        <v>USD,20211026,,275780,,275770,1,1,1</v>
      </c>
    </row>
    <row r="17" spans="1:12">
      <c r="A17" s="406">
        <v>274500</v>
      </c>
      <c r="B17" s="406">
        <v>273490</v>
      </c>
      <c r="C17" s="270">
        <v>276780</v>
      </c>
      <c r="D17" s="270">
        <v>275620</v>
      </c>
      <c r="E17">
        <v>410</v>
      </c>
      <c r="F17" s="137">
        <v>1.5E-3</v>
      </c>
      <c r="G17" s="203">
        <v>44494</v>
      </c>
      <c r="H17" t="s">
        <v>6991</v>
      </c>
      <c r="I17" s="40" t="s">
        <v>6633</v>
      </c>
      <c r="L17" s="40" t="str">
        <f t="shared" si="0"/>
        <v>USD,20211025,,276780,,275620,1,1,1</v>
      </c>
    </row>
    <row r="18" spans="1:12">
      <c r="A18" s="406">
        <v>269030</v>
      </c>
      <c r="B18" s="406">
        <v>268990</v>
      </c>
      <c r="C18" s="270">
        <v>276080</v>
      </c>
      <c r="D18" s="270">
        <v>276030</v>
      </c>
      <c r="E18">
        <v>1880</v>
      </c>
      <c r="F18" s="137">
        <v>6.8999999999999999E-3</v>
      </c>
      <c r="G18" s="203">
        <v>44492</v>
      </c>
      <c r="H18" t="s">
        <v>6992</v>
      </c>
      <c r="I18" s="40" t="s">
        <v>6633</v>
      </c>
      <c r="L18" s="40" t="str">
        <f t="shared" si="0"/>
        <v>USD,20211023,,276080,,276030,1,1,1</v>
      </c>
    </row>
    <row r="19" spans="1:12">
      <c r="A19" s="406">
        <v>269080</v>
      </c>
      <c r="B19" s="406">
        <v>268990</v>
      </c>
      <c r="C19" s="270">
        <v>274680</v>
      </c>
      <c r="D19" s="270">
        <v>274150</v>
      </c>
      <c r="E19">
        <v>1070</v>
      </c>
      <c r="F19" s="137">
        <v>3.8999999999999998E-3</v>
      </c>
      <c r="G19" s="203">
        <v>44490</v>
      </c>
      <c r="H19" t="s">
        <v>6993</v>
      </c>
      <c r="I19" s="40" t="s">
        <v>6633</v>
      </c>
      <c r="L19" s="40" t="str">
        <f t="shared" si="0"/>
        <v>USD,20211021,,274680,,274150,1,1,1</v>
      </c>
    </row>
    <row r="20" spans="1:12">
      <c r="A20" s="406">
        <v>269110</v>
      </c>
      <c r="B20" s="406">
        <v>268990</v>
      </c>
      <c r="C20" s="270">
        <v>274180</v>
      </c>
      <c r="D20" s="270">
        <v>273080</v>
      </c>
      <c r="E20">
        <v>1750</v>
      </c>
      <c r="F20" s="137">
        <v>6.4000000000000003E-3</v>
      </c>
      <c r="G20" s="203">
        <v>44489</v>
      </c>
      <c r="H20" t="s">
        <v>6994</v>
      </c>
      <c r="I20" s="40" t="s">
        <v>6633</v>
      </c>
      <c r="L20" s="40" t="str">
        <f t="shared" si="0"/>
        <v>USD,20211020,,274180,,273080,1,1,1</v>
      </c>
    </row>
    <row r="21" spans="1:12">
      <c r="A21" s="406">
        <v>263490</v>
      </c>
      <c r="B21" s="406">
        <v>263490</v>
      </c>
      <c r="C21" s="270">
        <v>275380</v>
      </c>
      <c r="D21" s="270">
        <v>274830</v>
      </c>
      <c r="E21">
        <v>2190</v>
      </c>
      <c r="F21" s="137">
        <v>8.0000000000000002E-3</v>
      </c>
      <c r="G21" s="203">
        <v>44488</v>
      </c>
      <c r="H21" t="s">
        <v>6995</v>
      </c>
      <c r="I21" s="40" t="s">
        <v>6633</v>
      </c>
      <c r="L21" s="40" t="str">
        <f t="shared" si="0"/>
        <v>USD,20211019,,275380,,274830,1,1,1</v>
      </c>
    </row>
    <row r="22" spans="1:12">
      <c r="A22" s="406">
        <v>263110</v>
      </c>
      <c r="B22" s="406">
        <v>262590</v>
      </c>
      <c r="C22" s="270">
        <v>273180</v>
      </c>
      <c r="D22" s="270">
        <v>272640</v>
      </c>
      <c r="E22">
        <v>820</v>
      </c>
      <c r="F22" s="137">
        <v>3.0000000000000001E-3</v>
      </c>
      <c r="G22" s="203">
        <v>44487</v>
      </c>
      <c r="H22" t="s">
        <v>6996</v>
      </c>
      <c r="I22" s="40" t="s">
        <v>6633</v>
      </c>
      <c r="L22" s="40" t="str">
        <f t="shared" si="0"/>
        <v>USD,20211018,,273180,,272640,1,1,1</v>
      </c>
    </row>
    <row r="23" spans="1:12">
      <c r="A23" s="406">
        <v>265890</v>
      </c>
      <c r="B23" s="406">
        <v>262890</v>
      </c>
      <c r="C23" s="270">
        <v>272980</v>
      </c>
      <c r="D23" s="270">
        <v>271820</v>
      </c>
      <c r="E23">
        <v>1030</v>
      </c>
      <c r="F23" s="137">
        <v>3.8E-3</v>
      </c>
      <c r="G23" s="203">
        <v>44486</v>
      </c>
      <c r="H23" t="s">
        <v>6997</v>
      </c>
      <c r="I23" s="40" t="s">
        <v>6633</v>
      </c>
      <c r="L23" s="40" t="str">
        <f t="shared" si="0"/>
        <v>USD,20211017,,272980,,271820,1,1,1</v>
      </c>
    </row>
    <row r="24" spans="1:12">
      <c r="A24" s="406">
        <v>264690</v>
      </c>
      <c r="B24" s="406">
        <v>263790</v>
      </c>
      <c r="C24" s="270">
        <v>273280</v>
      </c>
      <c r="D24" s="270">
        <v>272850</v>
      </c>
      <c r="E24">
        <v>1980</v>
      </c>
      <c r="F24" s="137">
        <v>7.3000000000000001E-3</v>
      </c>
      <c r="G24" s="203">
        <v>44485</v>
      </c>
      <c r="H24" t="s">
        <v>6998</v>
      </c>
      <c r="I24" s="40" t="s">
        <v>6633</v>
      </c>
      <c r="L24" s="40" t="str">
        <f t="shared" si="0"/>
        <v>USD,20211016,,273280,,272850,1,1,1</v>
      </c>
    </row>
    <row r="25" spans="1:12">
      <c r="A25" s="406">
        <v>258990</v>
      </c>
      <c r="B25" s="406">
        <v>258990</v>
      </c>
      <c r="C25" s="270">
        <v>272480</v>
      </c>
      <c r="D25" s="270">
        <v>270870</v>
      </c>
      <c r="E25">
        <v>690</v>
      </c>
      <c r="F25" s="137">
        <v>2.5000000000000001E-3</v>
      </c>
      <c r="G25" s="203">
        <v>44483</v>
      </c>
      <c r="H25" t="s">
        <v>6999</v>
      </c>
      <c r="I25" s="40" t="s">
        <v>6633</v>
      </c>
      <c r="L25" s="40" t="str">
        <f t="shared" si="0"/>
        <v>USD,20211014,,272480,,270870,1,1,1</v>
      </c>
    </row>
    <row r="26" spans="1:12">
      <c r="A26" s="406">
        <v>256340</v>
      </c>
      <c r="B26" s="406">
        <v>256190</v>
      </c>
      <c r="C26" s="270">
        <v>272780</v>
      </c>
      <c r="D26" s="270">
        <v>271560</v>
      </c>
      <c r="E26">
        <v>830</v>
      </c>
      <c r="F26" s="137">
        <v>3.0999999999999999E-3</v>
      </c>
      <c r="G26" s="203">
        <v>44482</v>
      </c>
      <c r="H26" t="s">
        <v>7000</v>
      </c>
      <c r="I26" s="40" t="s">
        <v>6633</v>
      </c>
      <c r="L26" s="40" t="str">
        <f t="shared" si="0"/>
        <v>USD,20211013,,272780,,271560,1,1,1</v>
      </c>
    </row>
    <row r="27" spans="1:12">
      <c r="A27" s="406">
        <v>256290</v>
      </c>
      <c r="B27" s="406">
        <v>252390</v>
      </c>
      <c r="C27" s="270">
        <v>273680</v>
      </c>
      <c r="D27" s="270">
        <v>270730</v>
      </c>
      <c r="E27">
        <v>2600</v>
      </c>
      <c r="F27" s="137">
        <v>9.5999999999999992E-3</v>
      </c>
      <c r="G27" s="203">
        <v>44481</v>
      </c>
      <c r="H27" t="s">
        <v>7001</v>
      </c>
      <c r="I27" s="40" t="s">
        <v>6633</v>
      </c>
      <c r="L27" s="40" t="str">
        <f t="shared" si="0"/>
        <v>USD,20211012,,273680,,270730,1,1,1</v>
      </c>
    </row>
    <row r="28" spans="1:12">
      <c r="A28" s="406">
        <v>254190</v>
      </c>
      <c r="B28" s="406">
        <v>253990</v>
      </c>
      <c r="C28" s="270">
        <v>276080</v>
      </c>
      <c r="D28" s="270">
        <v>273330</v>
      </c>
      <c r="E28">
        <v>2480</v>
      </c>
      <c r="F28" s="137">
        <v>9.1000000000000004E-3</v>
      </c>
      <c r="G28" s="203">
        <v>44480</v>
      </c>
      <c r="H28" t="s">
        <v>7002</v>
      </c>
      <c r="I28" s="40" t="s">
        <v>6633</v>
      </c>
      <c r="L28" s="40" t="str">
        <f t="shared" si="0"/>
        <v>USD,20211011,,276080,,273330,1,1,1</v>
      </c>
    </row>
    <row r="29" spans="1:12">
      <c r="A29" s="406">
        <v>256490</v>
      </c>
      <c r="B29" s="406">
        <v>255790</v>
      </c>
      <c r="C29" s="270">
        <v>276280</v>
      </c>
      <c r="D29" s="270">
        <v>275810</v>
      </c>
      <c r="E29">
        <v>210</v>
      </c>
      <c r="F29" s="137">
        <v>8.0000000000000004E-4</v>
      </c>
      <c r="G29" s="203">
        <v>44479</v>
      </c>
      <c r="H29" t="s">
        <v>7003</v>
      </c>
      <c r="I29" s="40" t="s">
        <v>6633</v>
      </c>
      <c r="L29" s="40" t="str">
        <f t="shared" si="0"/>
        <v>USD,20211010,,276280,,275810,1,1,1</v>
      </c>
    </row>
    <row r="30" spans="1:12">
      <c r="A30" s="406">
        <v>257250</v>
      </c>
      <c r="B30" s="406">
        <v>254690</v>
      </c>
      <c r="C30" s="270">
        <v>279380</v>
      </c>
      <c r="D30" s="270">
        <v>275600</v>
      </c>
      <c r="E30">
        <v>3720</v>
      </c>
      <c r="F30" s="137">
        <v>1.35E-2</v>
      </c>
      <c r="G30" s="203">
        <v>44478</v>
      </c>
      <c r="H30" t="s">
        <v>7004</v>
      </c>
      <c r="I30" s="40" t="s">
        <v>6633</v>
      </c>
      <c r="L30" s="40" t="str">
        <f t="shared" si="0"/>
        <v>USD,20211009,,279380,,275600,1,1,1</v>
      </c>
    </row>
    <row r="31" spans="1:12">
      <c r="A31" s="406">
        <v>255790</v>
      </c>
      <c r="B31" s="406">
        <v>255690</v>
      </c>
      <c r="C31" s="270">
        <v>281680</v>
      </c>
      <c r="D31" s="270">
        <v>279320</v>
      </c>
      <c r="E31">
        <v>2040</v>
      </c>
      <c r="F31" s="137">
        <v>7.3000000000000001E-3</v>
      </c>
      <c r="G31" s="203">
        <v>44475</v>
      </c>
      <c r="H31" t="s">
        <v>7005</v>
      </c>
      <c r="I31" s="40" t="s">
        <v>6633</v>
      </c>
      <c r="L31" s="40" t="str">
        <f t="shared" si="0"/>
        <v>USD,20211006,,281680,,279320,1,1,1</v>
      </c>
    </row>
    <row r="32" spans="1:12">
      <c r="A32" s="406">
        <v>255690</v>
      </c>
      <c r="B32" s="406">
        <v>254590</v>
      </c>
      <c r="C32" s="270">
        <v>281680</v>
      </c>
      <c r="D32" s="270">
        <v>281360</v>
      </c>
      <c r="E32" t="s">
        <v>6632</v>
      </c>
      <c r="F32" t="s">
        <v>6632</v>
      </c>
      <c r="G32" s="203">
        <v>44473</v>
      </c>
      <c r="H32" t="s">
        <v>7006</v>
      </c>
      <c r="I32" s="40" t="s">
        <v>6633</v>
      </c>
      <c r="L32" s="40" t="str">
        <f t="shared" si="0"/>
        <v>USD,20211004,,281680,,281360,1,1,1</v>
      </c>
    </row>
    <row r="33" spans="1:12">
      <c r="A33" s="406">
        <v>257190</v>
      </c>
      <c r="B33" s="406">
        <v>254290</v>
      </c>
      <c r="C33" s="270">
        <v>281610</v>
      </c>
      <c r="D33" s="270">
        <v>280410</v>
      </c>
      <c r="E33">
        <v>1600</v>
      </c>
      <c r="F33" s="137">
        <v>5.7000000000000002E-3</v>
      </c>
      <c r="G33" s="203">
        <v>44472</v>
      </c>
      <c r="H33" t="s">
        <v>7007</v>
      </c>
      <c r="I33" s="40" t="s">
        <v>6633</v>
      </c>
      <c r="L33" s="40" t="str">
        <f t="shared" si="0"/>
        <v>USD,20211003,,281610,,280410,1,1,1</v>
      </c>
    </row>
    <row r="34" spans="1:12">
      <c r="A34" s="406">
        <v>260270</v>
      </c>
      <c r="B34" s="406">
        <v>256990</v>
      </c>
      <c r="C34" s="270">
        <v>283510</v>
      </c>
      <c r="D34" s="270">
        <v>282010</v>
      </c>
      <c r="E34">
        <v>2700</v>
      </c>
      <c r="F34" s="137">
        <v>9.5999999999999992E-3</v>
      </c>
      <c r="G34" s="203">
        <v>44471</v>
      </c>
      <c r="H34" t="s">
        <v>7009</v>
      </c>
      <c r="I34" s="40" t="s">
        <v>6633</v>
      </c>
      <c r="L34" s="40" t="str">
        <f t="shared" si="0"/>
        <v>USD,20211002,,283510,,282010,1,1,1</v>
      </c>
    </row>
    <row r="35" spans="1:12">
      <c r="A35" s="270">
        <v>251800</v>
      </c>
      <c r="B35" s="270">
        <v>251690</v>
      </c>
      <c r="C35" s="270">
        <v>284710</v>
      </c>
      <c r="D35" s="270">
        <v>284710</v>
      </c>
      <c r="E35">
        <v>2200</v>
      </c>
      <c r="F35" s="137">
        <v>7.7999999999999996E-3</v>
      </c>
      <c r="G35" s="203">
        <v>44469</v>
      </c>
      <c r="H35" t="s">
        <v>7010</v>
      </c>
      <c r="I35" s="40" t="s">
        <v>6633</v>
      </c>
      <c r="L35" s="40" t="str">
        <f t="shared" si="0"/>
        <v>USD,20210930,,284710,,284710,1,1,1</v>
      </c>
    </row>
    <row r="36" spans="1:12">
      <c r="A36" s="270">
        <v>250780</v>
      </c>
      <c r="B36" s="270">
        <v>250690</v>
      </c>
      <c r="C36" s="270">
        <v>283210</v>
      </c>
      <c r="D36" s="270">
        <v>282510</v>
      </c>
      <c r="E36">
        <v>1800</v>
      </c>
      <c r="F36" s="137">
        <v>6.4000000000000003E-3</v>
      </c>
      <c r="G36" s="203">
        <v>44468</v>
      </c>
      <c r="H36" t="s">
        <v>7011</v>
      </c>
      <c r="I36" s="40" t="s">
        <v>6633</v>
      </c>
      <c r="L36" s="40" t="str">
        <f t="shared" si="0"/>
        <v>USD,20210929,,283210,,282510,1,1,1</v>
      </c>
    </row>
    <row r="37" spans="1:12">
      <c r="A37" s="270">
        <v>248130</v>
      </c>
      <c r="B37" s="270">
        <v>247890</v>
      </c>
      <c r="C37" s="270">
        <v>280710</v>
      </c>
      <c r="D37" s="270">
        <v>280710</v>
      </c>
      <c r="E37">
        <v>3900</v>
      </c>
      <c r="F37" s="137">
        <v>1.41E-2</v>
      </c>
      <c r="G37" s="203">
        <v>44467</v>
      </c>
      <c r="H37" t="s">
        <v>7012</v>
      </c>
      <c r="I37" s="40" t="s">
        <v>6633</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7013</v>
      </c>
      <c r="I38" s="40" t="s">
        <v>6633</v>
      </c>
      <c r="L38" s="40" t="str">
        <f t="shared" si="1"/>
        <v>USD,20210926,,276910,,276810,1,1,1</v>
      </c>
    </row>
    <row r="39" spans="1:12">
      <c r="A39" s="270">
        <v>246190</v>
      </c>
      <c r="B39" s="270">
        <v>246190</v>
      </c>
      <c r="C39" s="270">
        <v>276810</v>
      </c>
      <c r="D39" s="270">
        <v>275610</v>
      </c>
      <c r="E39">
        <v>1200</v>
      </c>
      <c r="F39" s="137">
        <v>4.4000000000000003E-3</v>
      </c>
      <c r="G39" s="203">
        <v>44464</v>
      </c>
      <c r="H39" t="s">
        <v>7014</v>
      </c>
      <c r="I39" s="40" t="s">
        <v>6633</v>
      </c>
      <c r="L39" s="40" t="str">
        <f t="shared" si="1"/>
        <v>USD,20210925,,276810,,275610,1,1,1</v>
      </c>
    </row>
    <row r="40" spans="1:12">
      <c r="A40" s="270">
        <v>246240</v>
      </c>
      <c r="B40" s="270">
        <v>246190</v>
      </c>
      <c r="C40" s="270">
        <v>276810</v>
      </c>
      <c r="D40" s="270">
        <v>276810</v>
      </c>
      <c r="E40">
        <v>1600</v>
      </c>
      <c r="F40" s="137">
        <v>5.7999999999999996E-3</v>
      </c>
      <c r="G40" s="203">
        <v>44462</v>
      </c>
      <c r="H40" t="s">
        <v>7008</v>
      </c>
      <c r="I40" s="40" t="s">
        <v>6633</v>
      </c>
      <c r="L40" s="40" t="str">
        <f t="shared" si="1"/>
        <v>USD,20210923,,276810,,276810,1,1,1</v>
      </c>
    </row>
    <row r="41" spans="1:12">
      <c r="A41" s="270">
        <v>244820</v>
      </c>
      <c r="B41" s="270">
        <v>244790</v>
      </c>
      <c r="C41" s="270">
        <v>276110</v>
      </c>
      <c r="D41" s="270">
        <v>275210</v>
      </c>
      <c r="E41">
        <v>1180</v>
      </c>
      <c r="F41" s="137">
        <v>4.3E-3</v>
      </c>
      <c r="G41" s="203">
        <v>44461</v>
      </c>
      <c r="H41" t="s">
        <v>7015</v>
      </c>
      <c r="I41" s="40" t="s">
        <v>6633</v>
      </c>
      <c r="L41" s="40" t="str">
        <f t="shared" si="1"/>
        <v>USD,20210922,,276110,,275210,1,1,1</v>
      </c>
    </row>
    <row r="42" spans="1:12">
      <c r="A42" s="270">
        <v>245600</v>
      </c>
      <c r="B42" s="270">
        <v>244090</v>
      </c>
      <c r="C42" s="270">
        <v>276310</v>
      </c>
      <c r="D42" s="270">
        <v>274030</v>
      </c>
      <c r="E42" t="s">
        <v>6632</v>
      </c>
      <c r="F42" t="s">
        <v>6632</v>
      </c>
      <c r="G42" s="203">
        <v>44460</v>
      </c>
      <c r="H42" t="s">
        <v>7016</v>
      </c>
      <c r="I42" s="40" t="s">
        <v>6633</v>
      </c>
      <c r="L42" s="40" t="str">
        <f t="shared" si="1"/>
        <v>USD,20210921,,276310,,274030,1,1,1</v>
      </c>
    </row>
    <row r="43" spans="1:12">
      <c r="A43" s="270">
        <v>246890</v>
      </c>
      <c r="B43" s="270">
        <v>245190</v>
      </c>
      <c r="C43" s="270">
        <v>274510</v>
      </c>
      <c r="D43" s="270">
        <v>274430</v>
      </c>
      <c r="E43">
        <v>220</v>
      </c>
      <c r="F43" s="137">
        <v>8.0000000000000004E-4</v>
      </c>
      <c r="G43" s="203">
        <v>44459</v>
      </c>
      <c r="H43" t="s">
        <v>7017</v>
      </c>
      <c r="I43" s="40" t="s">
        <v>6633</v>
      </c>
      <c r="L43" s="40" t="str">
        <f t="shared" si="1"/>
        <v>USD,20210920,,274510,,274430,1,1,1</v>
      </c>
    </row>
    <row r="44" spans="1:12">
      <c r="A44" s="270">
        <v>247610</v>
      </c>
      <c r="B44" s="270">
        <v>247190</v>
      </c>
      <c r="C44" s="270">
        <v>275010</v>
      </c>
      <c r="D44" s="270">
        <v>274650</v>
      </c>
      <c r="E44">
        <v>940</v>
      </c>
      <c r="F44" s="137">
        <v>3.3999999999999998E-3</v>
      </c>
      <c r="G44" s="203">
        <v>44458</v>
      </c>
      <c r="H44" t="s">
        <v>7018</v>
      </c>
      <c r="I44" s="40" t="s">
        <v>6633</v>
      </c>
      <c r="L44" s="40" t="str">
        <f t="shared" si="1"/>
        <v>USD,20210919,,275010,,274650,1,1,1</v>
      </c>
    </row>
    <row r="45" spans="1:12">
      <c r="A45" s="270">
        <v>246190</v>
      </c>
      <c r="B45" s="270">
        <v>246190</v>
      </c>
      <c r="C45" s="270">
        <v>276410</v>
      </c>
      <c r="D45" s="270">
        <v>273710</v>
      </c>
      <c r="E45">
        <v>750</v>
      </c>
      <c r="F45" s="137">
        <v>2.7000000000000001E-3</v>
      </c>
      <c r="G45" s="203">
        <v>44457</v>
      </c>
      <c r="H45" t="s">
        <v>7019</v>
      </c>
      <c r="I45" s="40" t="s">
        <v>6633</v>
      </c>
      <c r="L45" s="40" t="str">
        <f t="shared" si="1"/>
        <v>USD,20210918,,276410,,273710,1,1,1</v>
      </c>
    </row>
    <row r="46" spans="1:12">
      <c r="A46" s="270">
        <v>247610</v>
      </c>
      <c r="B46" s="270">
        <v>244990</v>
      </c>
      <c r="C46" s="270">
        <v>274510</v>
      </c>
      <c r="D46" s="270">
        <v>274460</v>
      </c>
      <c r="E46">
        <v>1250</v>
      </c>
      <c r="F46" s="137">
        <v>4.5999999999999999E-3</v>
      </c>
      <c r="G46" s="203">
        <v>44455</v>
      </c>
      <c r="H46" t="s">
        <v>7020</v>
      </c>
      <c r="I46" s="40" t="s">
        <v>6633</v>
      </c>
      <c r="L46" s="40" t="str">
        <f t="shared" si="1"/>
        <v>USD,20210916,,274510,,274460,1,1,1</v>
      </c>
    </row>
    <row r="47" spans="1:12">
      <c r="A47" s="270">
        <v>249740</v>
      </c>
      <c r="B47" s="270">
        <v>247090</v>
      </c>
      <c r="C47" s="270">
        <v>274210</v>
      </c>
      <c r="D47" s="270">
        <v>273210</v>
      </c>
      <c r="E47">
        <v>3260</v>
      </c>
      <c r="F47" s="137">
        <v>1.1900000000000001E-2</v>
      </c>
      <c r="G47" s="203">
        <v>44454</v>
      </c>
      <c r="H47" t="s">
        <v>7021</v>
      </c>
      <c r="I47" s="40" t="s">
        <v>6633</v>
      </c>
      <c r="L47" s="40" t="str">
        <f t="shared" si="1"/>
        <v>USD,20210915,,274210,,273210,1,1,1</v>
      </c>
    </row>
    <row r="48" spans="1:12">
      <c r="A48" s="270">
        <v>250040</v>
      </c>
      <c r="B48" s="270">
        <v>249290</v>
      </c>
      <c r="C48" s="270">
        <v>277310</v>
      </c>
      <c r="D48" s="270">
        <v>276470</v>
      </c>
      <c r="E48">
        <v>3360</v>
      </c>
      <c r="F48" s="137">
        <v>1.23E-2</v>
      </c>
      <c r="G48" s="203">
        <v>44453</v>
      </c>
      <c r="H48" t="s">
        <v>7022</v>
      </c>
      <c r="I48" s="40" t="s">
        <v>6633</v>
      </c>
      <c r="L48" s="40" t="str">
        <f t="shared" si="1"/>
        <v>USD,20210914,,277310,,276470,1,1,1</v>
      </c>
    </row>
    <row r="49" spans="1:12">
      <c r="A49" s="270">
        <v>249210</v>
      </c>
      <c r="B49" s="270">
        <v>248790</v>
      </c>
      <c r="C49" s="270">
        <v>273210</v>
      </c>
      <c r="D49" s="270">
        <v>273110</v>
      </c>
      <c r="E49">
        <v>600</v>
      </c>
      <c r="F49" s="137">
        <v>2.2000000000000001E-3</v>
      </c>
      <c r="G49" s="203">
        <v>44452</v>
      </c>
      <c r="H49" t="s">
        <v>7023</v>
      </c>
      <c r="I49" s="40" t="s">
        <v>6633</v>
      </c>
      <c r="L49" s="40" t="str">
        <f t="shared" si="1"/>
        <v>USD,20210913,,273210,,273110,1,1,1</v>
      </c>
    </row>
    <row r="50" spans="1:12">
      <c r="A50" s="270">
        <v>250340</v>
      </c>
      <c r="B50" s="270">
        <v>248190</v>
      </c>
      <c r="C50" s="270">
        <v>277210</v>
      </c>
      <c r="D50" s="270">
        <v>272510</v>
      </c>
      <c r="E50">
        <v>4800</v>
      </c>
      <c r="F50" s="137">
        <v>1.7600000000000001E-2</v>
      </c>
      <c r="G50" s="203">
        <v>44451</v>
      </c>
      <c r="H50" t="s">
        <v>7024</v>
      </c>
      <c r="I50" s="40" t="s">
        <v>6633</v>
      </c>
      <c r="L50" s="40" t="str">
        <f t="shared" si="1"/>
        <v>USD,20210912,,277210,,272510,1,1,1</v>
      </c>
    </row>
    <row r="51" spans="1:12">
      <c r="A51" s="270">
        <v>251070</v>
      </c>
      <c r="B51" s="270">
        <v>249490</v>
      </c>
      <c r="C51" s="270">
        <v>278810</v>
      </c>
      <c r="D51" s="270">
        <v>277310</v>
      </c>
      <c r="E51">
        <v>960</v>
      </c>
      <c r="F51" s="137">
        <v>3.5000000000000001E-3</v>
      </c>
      <c r="G51" s="203">
        <v>44450</v>
      </c>
      <c r="H51" t="s">
        <v>7025</v>
      </c>
      <c r="I51" s="40" t="s">
        <v>6633</v>
      </c>
      <c r="L51" s="40" t="str">
        <f t="shared" si="1"/>
        <v>USD,20210911,,278810,,277310,1,1,1</v>
      </c>
    </row>
    <row r="52" spans="1:12">
      <c r="A52" s="270">
        <v>250490</v>
      </c>
      <c r="B52" s="270">
        <v>250010</v>
      </c>
      <c r="C52" s="270">
        <v>279010</v>
      </c>
      <c r="D52" s="270">
        <v>278270</v>
      </c>
      <c r="E52">
        <v>1460</v>
      </c>
      <c r="F52" s="137">
        <v>5.3E-3</v>
      </c>
      <c r="G52" s="203">
        <v>44448</v>
      </c>
      <c r="H52" t="s">
        <v>7026</v>
      </c>
      <c r="I52" s="40" t="s">
        <v>6633</v>
      </c>
      <c r="L52" s="40" t="str">
        <f t="shared" si="1"/>
        <v>USD,20210909,,279010,,278270,1,1,1</v>
      </c>
    </row>
    <row r="53" spans="1:12">
      <c r="A53" s="270">
        <v>250990</v>
      </c>
      <c r="B53" s="270">
        <v>250590</v>
      </c>
      <c r="C53" s="270">
        <v>277310</v>
      </c>
      <c r="D53" s="270">
        <v>276810</v>
      </c>
      <c r="E53">
        <v>3000</v>
      </c>
      <c r="F53" s="137">
        <v>1.0999999999999999E-2</v>
      </c>
      <c r="G53" s="203">
        <v>44447</v>
      </c>
      <c r="H53" t="s">
        <v>7027</v>
      </c>
      <c r="I53" s="40" t="s">
        <v>6633</v>
      </c>
      <c r="L53" s="40" t="str">
        <f t="shared" si="1"/>
        <v>USD,20210908,,277310,,276810,1,1,1</v>
      </c>
    </row>
    <row r="54" spans="1:12">
      <c r="A54" s="270">
        <v>251220</v>
      </c>
      <c r="B54" s="270">
        <v>249490</v>
      </c>
      <c r="C54" s="270">
        <v>274010</v>
      </c>
      <c r="D54" s="270">
        <v>273810</v>
      </c>
      <c r="E54">
        <v>2600</v>
      </c>
      <c r="F54" s="137">
        <v>9.5999999999999992E-3</v>
      </c>
      <c r="G54" s="203">
        <v>44446</v>
      </c>
      <c r="H54" t="s">
        <v>7028</v>
      </c>
      <c r="I54" s="40" t="s">
        <v>6633</v>
      </c>
      <c r="L54" s="40" t="str">
        <f t="shared" si="1"/>
        <v>USD,20210907,,274010,,273810,1,1,1</v>
      </c>
    </row>
    <row r="55" spans="1:12">
      <c r="A55" s="270">
        <v>254490</v>
      </c>
      <c r="B55" s="270">
        <v>251090</v>
      </c>
      <c r="C55" s="270">
        <v>251640</v>
      </c>
      <c r="D55" s="270">
        <v>251090</v>
      </c>
      <c r="E55">
        <v>1370</v>
      </c>
      <c r="F55" s="137">
        <v>5.4999999999999997E-3</v>
      </c>
      <c r="G55" s="203">
        <v>44383</v>
      </c>
      <c r="H55" t="s">
        <v>6638</v>
      </c>
      <c r="I55" s="40" t="s">
        <v>6633</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6639</v>
      </c>
      <c r="I56" s="40" t="s">
        <v>6633</v>
      </c>
      <c r="L56" s="40" t="str">
        <f t="shared" si="2"/>
        <v>USD,20210705,251220,251340,249490,249720,1,1,1</v>
      </c>
    </row>
    <row r="57" spans="1:12">
      <c r="A57" s="270">
        <v>253290</v>
      </c>
      <c r="B57" s="270">
        <v>250690</v>
      </c>
      <c r="C57" s="270">
        <v>254640</v>
      </c>
      <c r="D57" s="270">
        <v>251510</v>
      </c>
      <c r="E57">
        <v>850</v>
      </c>
      <c r="F57" s="137">
        <v>3.3999999999999998E-3</v>
      </c>
      <c r="G57" s="203">
        <v>44381</v>
      </c>
      <c r="H57" t="s">
        <v>6503</v>
      </c>
      <c r="I57" s="40" t="s">
        <v>6633</v>
      </c>
      <c r="L57" s="40" t="str">
        <f t="shared" si="2"/>
        <v>USD,20210704,254490,254640,251090,251510,1,1,1</v>
      </c>
    </row>
    <row r="58" spans="1:12">
      <c r="A58" s="270">
        <v>250020</v>
      </c>
      <c r="B58" s="270">
        <v>249990</v>
      </c>
      <c r="C58" s="270">
        <v>253840</v>
      </c>
      <c r="D58" s="270">
        <v>252360</v>
      </c>
      <c r="E58">
        <v>850</v>
      </c>
      <c r="F58" s="137">
        <v>3.3999999999999998E-3</v>
      </c>
      <c r="G58" s="203">
        <v>44380</v>
      </c>
      <c r="H58" t="s">
        <v>6640</v>
      </c>
      <c r="I58" s="40" t="s">
        <v>6633</v>
      </c>
      <c r="L58" s="40" t="str">
        <f t="shared" si="2"/>
        <v>USD,20210703,251600,253840,251390,252360,1,1,1</v>
      </c>
    </row>
    <row r="59" spans="1:12">
      <c r="A59" s="270">
        <v>249000</v>
      </c>
      <c r="B59" s="270">
        <v>248890</v>
      </c>
      <c r="C59" s="270">
        <v>253440</v>
      </c>
      <c r="D59" s="270">
        <v>251510</v>
      </c>
      <c r="E59">
        <v>2490</v>
      </c>
      <c r="F59" s="137">
        <v>9.9000000000000008E-3</v>
      </c>
      <c r="G59" s="203">
        <v>44378</v>
      </c>
      <c r="H59" t="s">
        <v>6641</v>
      </c>
      <c r="I59" s="40" t="s">
        <v>6633</v>
      </c>
      <c r="L59" s="40" t="str">
        <f t="shared" si="2"/>
        <v>USD,20210701,253290,253440,250690,251510,1,1,1</v>
      </c>
    </row>
    <row r="60" spans="1:12">
      <c r="A60" s="270">
        <v>246360</v>
      </c>
      <c r="B60" s="270">
        <v>246290</v>
      </c>
      <c r="C60" s="270">
        <v>254130</v>
      </c>
      <c r="D60" s="270">
        <v>254000</v>
      </c>
      <c r="E60">
        <v>4350</v>
      </c>
      <c r="F60" s="137">
        <v>1.7399999999999999E-2</v>
      </c>
      <c r="G60" s="203">
        <v>44377</v>
      </c>
      <c r="H60" t="s">
        <v>6642</v>
      </c>
      <c r="I60" s="40" t="s">
        <v>6633</v>
      </c>
      <c r="L60" s="40" t="str">
        <f t="shared" si="2"/>
        <v>USD,20210630,250020,254130,249990,254000,1,1,1</v>
      </c>
    </row>
    <row r="61" spans="1:12">
      <c r="A61" s="270">
        <v>243490</v>
      </c>
      <c r="B61" s="270">
        <v>243490</v>
      </c>
      <c r="C61" s="270">
        <v>252040</v>
      </c>
      <c r="D61" s="270">
        <v>249650</v>
      </c>
      <c r="E61">
        <v>2530</v>
      </c>
      <c r="F61" s="137">
        <v>1.0200000000000001E-2</v>
      </c>
      <c r="G61" s="203">
        <v>44376</v>
      </c>
      <c r="H61" t="s">
        <v>6643</v>
      </c>
      <c r="I61" s="40" t="s">
        <v>6633</v>
      </c>
      <c r="L61" s="40" t="str">
        <f t="shared" si="2"/>
        <v>USD,20210629,249000,252040,248890,249650,1,1,1</v>
      </c>
    </row>
    <row r="62" spans="1:12">
      <c r="A62" s="270">
        <v>244500</v>
      </c>
      <c r="B62" s="270">
        <v>242290</v>
      </c>
      <c r="C62" s="270">
        <v>248640</v>
      </c>
      <c r="D62" s="270">
        <v>247120</v>
      </c>
      <c r="E62">
        <v>350</v>
      </c>
      <c r="F62" s="137">
        <v>1.4E-3</v>
      </c>
      <c r="G62" s="203">
        <v>44375</v>
      </c>
      <c r="H62" t="s">
        <v>6644</v>
      </c>
      <c r="I62" s="40" t="s">
        <v>6633</v>
      </c>
      <c r="L62" s="40" t="str">
        <f t="shared" si="2"/>
        <v>USD,20210628,246360,248640,246290,247120,1,1,1</v>
      </c>
    </row>
    <row r="63" spans="1:12">
      <c r="A63" s="270">
        <v>241690</v>
      </c>
      <c r="B63" s="270">
        <v>241190</v>
      </c>
      <c r="C63" s="270">
        <v>246940</v>
      </c>
      <c r="D63" s="270">
        <v>246770</v>
      </c>
      <c r="E63">
        <v>2230</v>
      </c>
      <c r="F63" s="137">
        <v>9.1000000000000004E-3</v>
      </c>
      <c r="G63" s="203">
        <v>44374</v>
      </c>
      <c r="H63" t="s">
        <v>6645</v>
      </c>
      <c r="I63" s="40" t="s">
        <v>6633</v>
      </c>
      <c r="L63" s="40" t="str">
        <f t="shared" si="2"/>
        <v>USD,20210627,243490,246940,243490,246770,1,1,1</v>
      </c>
    </row>
    <row r="64" spans="1:12">
      <c r="A64" s="270">
        <v>243310</v>
      </c>
      <c r="B64" s="270">
        <v>240790</v>
      </c>
      <c r="C64" s="270">
        <v>245940</v>
      </c>
      <c r="D64" s="270">
        <v>244540</v>
      </c>
      <c r="E64">
        <v>2650</v>
      </c>
      <c r="F64" s="137">
        <v>1.0999999999999999E-2</v>
      </c>
      <c r="G64" s="203">
        <v>44373</v>
      </c>
      <c r="H64" t="s">
        <v>6646</v>
      </c>
      <c r="I64" s="40" t="s">
        <v>6633</v>
      </c>
      <c r="L64" s="40" t="str">
        <f t="shared" si="2"/>
        <v>USD,20210626,244500,245940,242290,244540,1,1,1</v>
      </c>
    </row>
    <row r="65" spans="1:12">
      <c r="A65" s="270">
        <v>241190</v>
      </c>
      <c r="B65" s="270">
        <v>241190</v>
      </c>
      <c r="C65" s="270">
        <v>242440</v>
      </c>
      <c r="D65" s="270">
        <v>241890</v>
      </c>
      <c r="E65">
        <v>100</v>
      </c>
      <c r="F65" s="137">
        <v>4.0000000000000002E-4</v>
      </c>
      <c r="G65" s="203">
        <v>44371</v>
      </c>
      <c r="H65" t="s">
        <v>6647</v>
      </c>
      <c r="I65" s="40" t="s">
        <v>6633</v>
      </c>
      <c r="L65" s="40" t="str">
        <f t="shared" si="2"/>
        <v>USD,20210624,241690,242440,241190,241890,1,1,1</v>
      </c>
    </row>
    <row r="66" spans="1:12">
      <c r="A66" s="270">
        <v>239940</v>
      </c>
      <c r="B66" s="270">
        <v>239190</v>
      </c>
      <c r="C66" s="270">
        <v>243340</v>
      </c>
      <c r="D66" s="270">
        <v>241790</v>
      </c>
      <c r="E66">
        <v>880</v>
      </c>
      <c r="F66" s="137">
        <v>3.5999999999999999E-3</v>
      </c>
      <c r="G66" s="203">
        <v>44370</v>
      </c>
      <c r="H66" t="s">
        <v>6648</v>
      </c>
      <c r="I66" s="40" t="s">
        <v>6633</v>
      </c>
      <c r="L66" s="40" t="str">
        <f t="shared" si="2"/>
        <v>USD,20210623,243310,243340,240790,241790,1,1,1</v>
      </c>
    </row>
    <row r="67" spans="1:12">
      <c r="A67" s="270">
        <v>234810</v>
      </c>
      <c r="B67" s="270">
        <v>234690</v>
      </c>
      <c r="C67" s="270">
        <v>243140</v>
      </c>
      <c r="D67" s="270">
        <v>242670</v>
      </c>
      <c r="E67">
        <v>1680</v>
      </c>
      <c r="F67" s="137">
        <v>7.0000000000000001E-3</v>
      </c>
      <c r="G67" s="203">
        <v>44369</v>
      </c>
      <c r="H67" t="s">
        <v>6649</v>
      </c>
      <c r="I67" s="40" t="s">
        <v>6633</v>
      </c>
      <c r="L67" s="40" t="str">
        <f t="shared" si="2"/>
        <v>USD,20210622,241190,243140,241190,242670,1,1,1</v>
      </c>
    </row>
    <row r="68" spans="1:12">
      <c r="A68" s="270">
        <v>244490</v>
      </c>
      <c r="B68" s="270">
        <v>234690</v>
      </c>
      <c r="C68" s="270">
        <v>241440</v>
      </c>
      <c r="D68" s="270">
        <v>240990</v>
      </c>
      <c r="E68">
        <v>1390</v>
      </c>
      <c r="F68" s="137">
        <v>5.7999999999999996E-3</v>
      </c>
      <c r="G68" s="203">
        <v>44368</v>
      </c>
      <c r="H68" t="s">
        <v>6650</v>
      </c>
      <c r="I68" s="40" t="s">
        <v>6633</v>
      </c>
      <c r="L68" s="40" t="str">
        <f t="shared" si="2"/>
        <v>USD,20210621,239940,241440,239190,240990,1,1,1</v>
      </c>
    </row>
    <row r="69" spans="1:12">
      <c r="A69" s="270">
        <v>242010</v>
      </c>
      <c r="B69" s="270">
        <v>241950</v>
      </c>
      <c r="C69" s="270">
        <v>240440</v>
      </c>
      <c r="D69" s="270">
        <v>239600</v>
      </c>
      <c r="E69">
        <v>4710</v>
      </c>
      <c r="F69" s="137">
        <v>2.01E-2</v>
      </c>
      <c r="G69" s="203">
        <v>44367</v>
      </c>
      <c r="H69" t="s">
        <v>6651</v>
      </c>
      <c r="I69" s="40" t="s">
        <v>6633</v>
      </c>
      <c r="L69" s="40" t="str">
        <f t="shared" si="2"/>
        <v>USD,20210620,234810,240440,234690,239600,1,1,1</v>
      </c>
    </row>
    <row r="70" spans="1:12">
      <c r="A70" s="270">
        <v>240470</v>
      </c>
      <c r="B70" s="270">
        <v>239450</v>
      </c>
      <c r="C70" s="270">
        <v>244640</v>
      </c>
      <c r="D70" s="270">
        <v>234890</v>
      </c>
      <c r="E70">
        <v>9400</v>
      </c>
      <c r="F70" s="408">
        <v>0.04</v>
      </c>
      <c r="G70" s="203">
        <v>44366</v>
      </c>
      <c r="H70" t="s">
        <v>6652</v>
      </c>
      <c r="I70" s="40" t="s">
        <v>6633</v>
      </c>
      <c r="L70" s="40" t="str">
        <f t="shared" si="2"/>
        <v>USD,20210619,244490,244640,234690,234890,1,1,1</v>
      </c>
    </row>
    <row r="71" spans="1:12">
      <c r="A71" s="270">
        <v>239970</v>
      </c>
      <c r="B71" s="270">
        <v>239950</v>
      </c>
      <c r="C71" s="270">
        <v>244640</v>
      </c>
      <c r="D71" s="270">
        <v>244290</v>
      </c>
      <c r="E71">
        <v>2540</v>
      </c>
      <c r="F71" s="137">
        <v>1.0500000000000001E-2</v>
      </c>
      <c r="G71" s="203">
        <v>44364</v>
      </c>
      <c r="H71" t="s">
        <v>6653</v>
      </c>
      <c r="I71" s="40" t="s">
        <v>6633</v>
      </c>
      <c r="L71" s="40" t="str">
        <f t="shared" si="2"/>
        <v>USD,20210617,242010,244640,241950,244290,1,1,1</v>
      </c>
    </row>
    <row r="72" spans="1:12">
      <c r="A72" s="270">
        <v>240970</v>
      </c>
      <c r="B72" s="270">
        <v>238550</v>
      </c>
      <c r="C72" s="270">
        <v>242250</v>
      </c>
      <c r="D72" s="270">
        <v>241750</v>
      </c>
      <c r="E72">
        <v>1260</v>
      </c>
      <c r="F72" s="137">
        <v>5.1999999999999998E-3</v>
      </c>
      <c r="G72" s="203">
        <v>44363</v>
      </c>
      <c r="H72" t="s">
        <v>6654</v>
      </c>
      <c r="I72" s="40" t="s">
        <v>6633</v>
      </c>
      <c r="L72" s="40" t="str">
        <f t="shared" si="2"/>
        <v>USD,20210616,240470,242250,239450,241750,1,1,1</v>
      </c>
    </row>
    <row r="73" spans="1:12">
      <c r="A73" s="270">
        <v>238970</v>
      </c>
      <c r="B73" s="270">
        <v>238940</v>
      </c>
      <c r="C73" s="270">
        <v>240050</v>
      </c>
      <c r="D73" s="270">
        <v>240490</v>
      </c>
      <c r="E73">
        <v>770</v>
      </c>
      <c r="F73" s="137">
        <v>3.2000000000000002E-3</v>
      </c>
      <c r="G73" s="203">
        <v>44362</v>
      </c>
      <c r="H73" t="s">
        <v>6655</v>
      </c>
      <c r="I73" s="40" t="s">
        <v>6633</v>
      </c>
      <c r="L73" s="40" t="str">
        <f t="shared" si="2"/>
        <v>USD,20210615,239970,240050,239950,240490,1,1,1</v>
      </c>
    </row>
    <row r="74" spans="1:12">
      <c r="A74" s="270">
        <v>236830</v>
      </c>
      <c r="B74" s="270">
        <v>236140</v>
      </c>
      <c r="C74" s="270">
        <v>241050</v>
      </c>
      <c r="D74" s="270">
        <v>239720</v>
      </c>
      <c r="E74">
        <v>1310</v>
      </c>
      <c r="F74" s="137">
        <v>5.4999999999999997E-3</v>
      </c>
      <c r="G74" s="203">
        <v>44361</v>
      </c>
      <c r="H74" t="s">
        <v>6656</v>
      </c>
      <c r="I74" s="40" t="s">
        <v>6633</v>
      </c>
      <c r="L74" s="40" t="str">
        <f t="shared" si="2"/>
        <v>USD,20210614,240970,241050,238550,239720,1,1,1</v>
      </c>
    </row>
    <row r="75" spans="1:12">
      <c r="A75" s="270">
        <v>240010</v>
      </c>
      <c r="B75" s="270">
        <v>239140</v>
      </c>
      <c r="C75" s="270">
        <v>241250</v>
      </c>
      <c r="D75" s="270">
        <v>241030</v>
      </c>
      <c r="E75">
        <v>3280</v>
      </c>
      <c r="F75" s="137">
        <v>1.38E-2</v>
      </c>
      <c r="G75" s="203">
        <v>44360</v>
      </c>
      <c r="H75" t="s">
        <v>6657</v>
      </c>
      <c r="I75" s="40" t="s">
        <v>6633</v>
      </c>
      <c r="L75" s="40" t="str">
        <f t="shared" si="2"/>
        <v>USD,20210613,238970,241250,238940,241030,1,1,1</v>
      </c>
    </row>
    <row r="76" spans="1:12">
      <c r="A76" s="270">
        <v>235480</v>
      </c>
      <c r="B76" s="270">
        <v>235440</v>
      </c>
      <c r="C76" s="270">
        <v>238350</v>
      </c>
      <c r="D76" s="270">
        <v>237750</v>
      </c>
      <c r="E76">
        <v>1480</v>
      </c>
      <c r="F76" s="137">
        <v>6.1999999999999998E-3</v>
      </c>
      <c r="G76" s="203">
        <v>44359</v>
      </c>
      <c r="H76" t="s">
        <v>6658</v>
      </c>
      <c r="I76" s="40" t="s">
        <v>6633</v>
      </c>
      <c r="L76" s="40" t="str">
        <f t="shared" si="2"/>
        <v>USD,20210612,236830,238350,236140,237750,1,1,1</v>
      </c>
    </row>
    <row r="77" spans="1:12">
      <c r="A77" s="270">
        <v>235890</v>
      </c>
      <c r="B77" s="270">
        <v>234820</v>
      </c>
      <c r="C77" s="270">
        <v>240450</v>
      </c>
      <c r="D77" s="270">
        <v>239230</v>
      </c>
      <c r="E77">
        <v>2210</v>
      </c>
      <c r="F77" s="137">
        <v>9.1999999999999998E-3</v>
      </c>
      <c r="G77" s="203">
        <v>44357</v>
      </c>
      <c r="H77" t="s">
        <v>6659</v>
      </c>
      <c r="I77" s="40" t="s">
        <v>6633</v>
      </c>
      <c r="L77" s="40" t="str">
        <f t="shared" si="2"/>
        <v>USD,20210610,240010,240450,239140,239230,1,1,1</v>
      </c>
    </row>
    <row r="78" spans="1:12">
      <c r="A78" s="270">
        <v>234340</v>
      </c>
      <c r="B78" s="270">
        <v>234240</v>
      </c>
      <c r="C78" s="270">
        <v>241550</v>
      </c>
      <c r="D78" s="270">
        <v>241440</v>
      </c>
      <c r="E78">
        <v>5950</v>
      </c>
      <c r="F78" s="137">
        <v>2.53E-2</v>
      </c>
      <c r="G78" s="203">
        <v>44356</v>
      </c>
      <c r="H78" t="s">
        <v>6660</v>
      </c>
      <c r="I78" s="40" t="s">
        <v>6633</v>
      </c>
      <c r="L78" s="40" t="str">
        <f t="shared" si="2"/>
        <v>USD,20210609,235480,241550,235440,241440,1,1,1</v>
      </c>
    </row>
    <row r="79" spans="1:12">
      <c r="A79" s="270">
        <v>234330</v>
      </c>
      <c r="B79" s="270">
        <v>233900</v>
      </c>
      <c r="C79" s="270">
        <v>235960</v>
      </c>
      <c r="D79" s="270">
        <v>235490</v>
      </c>
      <c r="E79">
        <v>460</v>
      </c>
      <c r="F79" s="137">
        <v>2E-3</v>
      </c>
      <c r="G79" s="203">
        <v>44355</v>
      </c>
      <c r="H79" t="s">
        <v>6661</v>
      </c>
      <c r="I79" s="40" t="s">
        <v>6633</v>
      </c>
      <c r="L79" s="40" t="str">
        <f t="shared" si="2"/>
        <v>USD,20210608,235890,235960,234820,235490,1,1,1</v>
      </c>
    </row>
    <row r="80" spans="1:12">
      <c r="A80" s="270">
        <v>234060</v>
      </c>
      <c r="B80" s="270">
        <v>228150</v>
      </c>
      <c r="C80" s="270">
        <v>235960</v>
      </c>
      <c r="D80" s="270">
        <v>235950</v>
      </c>
      <c r="E80">
        <v>1620</v>
      </c>
      <c r="F80" s="137">
        <v>6.8999999999999999E-3</v>
      </c>
      <c r="G80" s="203">
        <v>44354</v>
      </c>
      <c r="H80" t="s">
        <v>6662</v>
      </c>
      <c r="I80" s="40" t="s">
        <v>6633</v>
      </c>
      <c r="L80" s="40" t="str">
        <f t="shared" si="2"/>
        <v>USD,20210607,234340,235960,234240,235950,1,1,1</v>
      </c>
    </row>
    <row r="81" spans="1:12">
      <c r="A81" s="270">
        <v>234000</v>
      </c>
      <c r="B81" s="270">
        <v>233970</v>
      </c>
      <c r="C81" s="270">
        <v>234350</v>
      </c>
      <c r="D81" s="270">
        <v>234330</v>
      </c>
      <c r="E81">
        <v>90</v>
      </c>
      <c r="F81" s="137">
        <v>4.0000000000000002E-4</v>
      </c>
      <c r="G81" s="203">
        <v>44350</v>
      </c>
      <c r="H81" t="s">
        <v>6663</v>
      </c>
      <c r="I81" s="40" t="s">
        <v>6633</v>
      </c>
      <c r="L81" s="40" t="str">
        <f t="shared" si="2"/>
        <v>USD,20210603,234330,234350,233900,234330,1,1,1</v>
      </c>
    </row>
    <row r="82" spans="1:12">
      <c r="A82" s="270">
        <v>238590</v>
      </c>
      <c r="B82" s="270">
        <v>232950</v>
      </c>
      <c r="C82" s="270">
        <v>234360</v>
      </c>
      <c r="D82" s="270">
        <v>234240</v>
      </c>
      <c r="E82">
        <v>80</v>
      </c>
      <c r="F82" s="137">
        <v>2.9999999999999997E-4</v>
      </c>
      <c r="G82" s="203">
        <v>44349</v>
      </c>
      <c r="H82" t="s">
        <v>6664</v>
      </c>
      <c r="I82" s="40" t="s">
        <v>6633</v>
      </c>
      <c r="L82" s="40" t="str">
        <f t="shared" si="2"/>
        <v>USD,20210602,234060,234360,228150,234240,1,1,1</v>
      </c>
    </row>
    <row r="83" spans="1:12">
      <c r="A83" s="270">
        <v>234640</v>
      </c>
      <c r="B83" s="270">
        <v>234550</v>
      </c>
      <c r="C83" s="270">
        <v>238660</v>
      </c>
      <c r="D83" s="270">
        <v>234160</v>
      </c>
      <c r="E83">
        <v>100</v>
      </c>
      <c r="F83" s="137">
        <v>4.0000000000000002E-4</v>
      </c>
      <c r="G83" s="203">
        <v>44348</v>
      </c>
      <c r="H83" t="s">
        <v>6665</v>
      </c>
      <c r="I83" s="40" t="s">
        <v>6633</v>
      </c>
      <c r="L83" s="40" t="str">
        <f t="shared" si="2"/>
        <v>USD,20210601,234000,238660,233970,234160,1,1,1</v>
      </c>
    </row>
    <row r="84" spans="1:12">
      <c r="A84" s="270">
        <v>226560</v>
      </c>
      <c r="B84" s="270">
        <v>226460</v>
      </c>
      <c r="C84" s="270">
        <v>238660</v>
      </c>
      <c r="D84" s="270">
        <v>234060</v>
      </c>
      <c r="E84">
        <v>4510</v>
      </c>
      <c r="F84" s="137">
        <v>1.9300000000000001E-2</v>
      </c>
      <c r="G84" s="203">
        <v>44347</v>
      </c>
      <c r="H84" t="s">
        <v>6666</v>
      </c>
      <c r="I84" s="40" t="s">
        <v>6633</v>
      </c>
      <c r="L84" s="40" t="str">
        <f t="shared" si="2"/>
        <v>USD,20210531,238590,238660,232950,234060,1,1,1</v>
      </c>
    </row>
    <row r="85" spans="1:12">
      <c r="A85" s="270">
        <v>225260</v>
      </c>
      <c r="B85" s="270">
        <v>225170</v>
      </c>
      <c r="C85" s="270">
        <v>238660</v>
      </c>
      <c r="D85" s="270">
        <v>238570</v>
      </c>
      <c r="E85">
        <v>3910</v>
      </c>
      <c r="F85" s="137">
        <v>1.67E-2</v>
      </c>
      <c r="G85" s="203">
        <v>44346</v>
      </c>
      <c r="H85" t="s">
        <v>6667</v>
      </c>
      <c r="I85" s="40" t="s">
        <v>6633</v>
      </c>
      <c r="L85" s="40" t="str">
        <f t="shared" si="2"/>
        <v>USD,20210530,234640,238660,234550,238570,1,1,1</v>
      </c>
    </row>
    <row r="86" spans="1:12">
      <c r="A86" s="270">
        <v>224190</v>
      </c>
      <c r="B86" s="270">
        <v>224100</v>
      </c>
      <c r="C86" s="270">
        <v>234660</v>
      </c>
      <c r="D86" s="270">
        <v>234660</v>
      </c>
      <c r="E86" t="s">
        <v>6632</v>
      </c>
      <c r="F86" t="s">
        <v>6632</v>
      </c>
      <c r="G86" s="203">
        <v>44345</v>
      </c>
      <c r="H86" t="s">
        <v>6668</v>
      </c>
      <c r="I86" s="40" t="s">
        <v>6633</v>
      </c>
      <c r="L86" s="40" t="str">
        <f t="shared" si="2"/>
        <v>USD,20210529,226560,234660,226460,234660,1,1,1</v>
      </c>
    </row>
    <row r="87" spans="1:12">
      <c r="A87" s="270">
        <v>224120</v>
      </c>
      <c r="B87" s="270">
        <v>223150</v>
      </c>
      <c r="C87" s="270">
        <v>231470</v>
      </c>
      <c r="D87" s="270">
        <v>231470</v>
      </c>
      <c r="E87">
        <v>6310</v>
      </c>
      <c r="F87" s="137">
        <v>2.8000000000000001E-2</v>
      </c>
      <c r="G87" s="203">
        <v>44343</v>
      </c>
      <c r="H87" t="s">
        <v>6669</v>
      </c>
      <c r="I87" s="40" t="s">
        <v>6633</v>
      </c>
      <c r="L87" s="40" t="str">
        <f t="shared" si="2"/>
        <v>USD,20210527,225260,231470,225170,231470,1,1,1</v>
      </c>
    </row>
    <row r="88" spans="1:12">
      <c r="A88" s="270">
        <v>223590</v>
      </c>
      <c r="B88" s="270">
        <v>223490</v>
      </c>
      <c r="C88" s="270">
        <v>225270</v>
      </c>
      <c r="D88" s="270">
        <v>225160</v>
      </c>
      <c r="E88">
        <v>1060</v>
      </c>
      <c r="F88" s="137">
        <v>4.7000000000000002E-3</v>
      </c>
      <c r="G88" s="203">
        <v>44342</v>
      </c>
      <c r="H88" t="s">
        <v>6670</v>
      </c>
      <c r="I88" s="40" t="s">
        <v>6633</v>
      </c>
      <c r="L88" s="40" t="str">
        <f t="shared" si="2"/>
        <v>USD,20210526,224190,225270,224100,225160,1,1,1</v>
      </c>
    </row>
    <row r="89" spans="1:12">
      <c r="A89" s="270">
        <v>223440</v>
      </c>
      <c r="B89" s="270">
        <v>223390</v>
      </c>
      <c r="C89" s="270">
        <v>224430</v>
      </c>
      <c r="D89" s="270">
        <v>224100</v>
      </c>
      <c r="E89">
        <v>10</v>
      </c>
      <c r="F89" t="s">
        <v>6632</v>
      </c>
      <c r="G89" s="203">
        <v>44341</v>
      </c>
      <c r="H89" t="s">
        <v>6671</v>
      </c>
      <c r="I89" s="40" t="s">
        <v>6633</v>
      </c>
      <c r="L89" s="40" t="str">
        <f t="shared" si="2"/>
        <v>USD,20210525,224120,224430,223150,224100,1,1,1</v>
      </c>
    </row>
    <row r="90" spans="1:12">
      <c r="A90" s="270">
        <v>222980</v>
      </c>
      <c r="B90" s="270">
        <v>222930</v>
      </c>
      <c r="C90" s="270">
        <v>225110</v>
      </c>
      <c r="D90" s="270">
        <v>224110</v>
      </c>
      <c r="E90">
        <v>600</v>
      </c>
      <c r="F90" s="137">
        <v>2.7000000000000001E-3</v>
      </c>
      <c r="G90" s="203">
        <v>44340</v>
      </c>
      <c r="H90" t="s">
        <v>6672</v>
      </c>
      <c r="I90" s="40" t="s">
        <v>6633</v>
      </c>
      <c r="L90" s="40" t="str">
        <f t="shared" si="2"/>
        <v>USD,20210524,223590,225110,223490,224110,1,1,1</v>
      </c>
    </row>
    <row r="91" spans="1:12">
      <c r="A91" s="270">
        <v>223990</v>
      </c>
      <c r="B91" s="270">
        <v>222930</v>
      </c>
      <c r="C91" s="270">
        <v>223990</v>
      </c>
      <c r="D91" s="270">
        <v>223510</v>
      </c>
      <c r="E91">
        <v>20</v>
      </c>
      <c r="F91" s="137">
        <v>1E-4</v>
      </c>
      <c r="G91" s="203">
        <v>44339</v>
      </c>
      <c r="H91" t="s">
        <v>6673</v>
      </c>
      <c r="I91" s="40" t="s">
        <v>6633</v>
      </c>
      <c r="L91" s="40" t="str">
        <f t="shared" si="2"/>
        <v>USD,20210523,223440,223990,223390,223510,1,1,1</v>
      </c>
    </row>
    <row r="92" spans="1:12">
      <c r="A92" s="270">
        <v>225270</v>
      </c>
      <c r="B92" s="270">
        <v>221720</v>
      </c>
      <c r="C92" s="270">
        <v>223550</v>
      </c>
      <c r="D92" s="270">
        <v>223490</v>
      </c>
      <c r="E92">
        <v>490</v>
      </c>
      <c r="F92" s="137">
        <v>2.2000000000000001E-3</v>
      </c>
      <c r="G92" s="203">
        <v>44338</v>
      </c>
      <c r="H92" t="s">
        <v>6674</v>
      </c>
      <c r="I92" s="40" t="s">
        <v>6633</v>
      </c>
      <c r="L92" s="40" t="str">
        <f t="shared" si="2"/>
        <v>USD,20210522,222980,223550,222930,223490,1,1,1</v>
      </c>
    </row>
    <row r="93" spans="1:12">
      <c r="A93" s="270">
        <v>222240</v>
      </c>
      <c r="B93" s="270">
        <v>222140</v>
      </c>
      <c r="C93" s="270">
        <v>224020</v>
      </c>
      <c r="D93" s="270">
        <v>223000</v>
      </c>
      <c r="E93">
        <v>1210</v>
      </c>
      <c r="F93" s="137">
        <v>5.4999999999999997E-3</v>
      </c>
      <c r="G93" s="203">
        <v>44336</v>
      </c>
      <c r="H93" t="s">
        <v>6675</v>
      </c>
      <c r="I93" s="40" t="s">
        <v>6633</v>
      </c>
      <c r="L93" s="40" t="str">
        <f t="shared" si="2"/>
        <v>USD,20210520,223990,224020,222930,223000,1,1,1</v>
      </c>
    </row>
    <row r="94" spans="1:12">
      <c r="A94" s="270">
        <v>224160</v>
      </c>
      <c r="B94" s="270">
        <v>222140</v>
      </c>
      <c r="C94" s="270">
        <v>225380</v>
      </c>
      <c r="D94" s="270">
        <v>221790</v>
      </c>
      <c r="E94">
        <v>3550</v>
      </c>
      <c r="F94" s="137">
        <v>1.6E-2</v>
      </c>
      <c r="G94" s="203">
        <v>44335</v>
      </c>
      <c r="H94" t="s">
        <v>6676</v>
      </c>
      <c r="I94" s="40" t="s">
        <v>6633</v>
      </c>
      <c r="L94" s="40" t="str">
        <f t="shared" si="2"/>
        <v>USD,20210519,225270,225380,221720,221790,1,1,1</v>
      </c>
    </row>
    <row r="95" spans="1:12">
      <c r="A95" s="270">
        <v>220520</v>
      </c>
      <c r="B95" s="270">
        <v>220410</v>
      </c>
      <c r="C95" s="270">
        <v>225380</v>
      </c>
      <c r="D95" s="270">
        <v>225340</v>
      </c>
      <c r="E95">
        <v>3150</v>
      </c>
      <c r="F95" s="137">
        <v>1.4200000000000001E-2</v>
      </c>
      <c r="G95" s="203">
        <v>44334</v>
      </c>
      <c r="H95" t="s">
        <v>6678</v>
      </c>
      <c r="I95" s="40" t="s">
        <v>6633</v>
      </c>
      <c r="L95" s="40" t="str">
        <f t="shared" si="2"/>
        <v>USD,20210518,222240,225380,222140,225340,1,1,1</v>
      </c>
    </row>
    <row r="96" spans="1:12">
      <c r="A96" s="270">
        <v>220760</v>
      </c>
      <c r="B96" s="270">
        <v>220410</v>
      </c>
      <c r="C96" s="270">
        <v>225270</v>
      </c>
      <c r="D96" s="270">
        <v>222190</v>
      </c>
      <c r="E96">
        <v>1950</v>
      </c>
      <c r="F96" s="137">
        <v>8.8000000000000005E-3</v>
      </c>
      <c r="G96" s="203">
        <v>44333</v>
      </c>
      <c r="H96" t="s">
        <v>6679</v>
      </c>
      <c r="I96" s="40" t="s">
        <v>6633</v>
      </c>
      <c r="L96" s="40" t="str">
        <f t="shared" si="2"/>
        <v>USD,20210517,224160,225270,222140,222190,1,1,1</v>
      </c>
    </row>
    <row r="97" spans="1:12">
      <c r="A97" s="270">
        <v>219790</v>
      </c>
      <c r="B97" s="270">
        <v>216130</v>
      </c>
      <c r="C97" s="270">
        <v>224160</v>
      </c>
      <c r="D97" s="270">
        <v>224140</v>
      </c>
      <c r="E97">
        <v>3640</v>
      </c>
      <c r="F97" s="137">
        <v>1.6500000000000001E-2</v>
      </c>
      <c r="G97" s="203">
        <v>44332</v>
      </c>
      <c r="H97" t="s">
        <v>6680</v>
      </c>
      <c r="I97" s="40" t="s">
        <v>6633</v>
      </c>
      <c r="L97" s="40" t="str">
        <f t="shared" si="2"/>
        <v>USD,20210516,220520,224160,220410,224140,1,1,1</v>
      </c>
    </row>
    <row r="98" spans="1:12">
      <c r="A98" s="270">
        <v>221860</v>
      </c>
      <c r="B98" s="270">
        <v>219750</v>
      </c>
      <c r="C98" s="270">
        <v>221880</v>
      </c>
      <c r="D98" s="270">
        <v>220500</v>
      </c>
      <c r="E98">
        <v>4370</v>
      </c>
      <c r="F98" s="137">
        <v>2.0199999999999999E-2</v>
      </c>
      <c r="G98" s="203">
        <v>44331</v>
      </c>
      <c r="H98" t="s">
        <v>6681</v>
      </c>
      <c r="I98" s="40" t="s">
        <v>6633</v>
      </c>
      <c r="L98" s="40" t="str">
        <f t="shared" si="2"/>
        <v>USD,20210515,220760,221880,220410,220500,1,1,1</v>
      </c>
    </row>
    <row r="99" spans="1:12">
      <c r="A99" s="270">
        <v>216080</v>
      </c>
      <c r="B99" s="270">
        <v>216080</v>
      </c>
      <c r="C99" s="270">
        <v>219860</v>
      </c>
      <c r="D99" s="270">
        <v>216130</v>
      </c>
      <c r="E99">
        <v>3620</v>
      </c>
      <c r="F99" s="137">
        <v>1.67E-2</v>
      </c>
      <c r="G99" s="203">
        <v>44329</v>
      </c>
      <c r="H99" t="s">
        <v>6682</v>
      </c>
      <c r="I99" s="40" t="s">
        <v>6633</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6683</v>
      </c>
      <c r="I100" s="40" t="s">
        <v>6633</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6684</v>
      </c>
      <c r="I101" s="40" t="s">
        <v>6633</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6685</v>
      </c>
      <c r="I102" s="40" t="s">
        <v>6633</v>
      </c>
      <c r="L102" s="40" t="str">
        <f t="shared" si="2"/>
        <v>USD,20210510,207240,217040,207190,216130,1,1,1</v>
      </c>
    </row>
    <row r="103" spans="1:12">
      <c r="A103" s="270">
        <v>206440</v>
      </c>
      <c r="B103" s="270">
        <v>206370</v>
      </c>
      <c r="C103" s="270">
        <v>207300</v>
      </c>
      <c r="D103" s="270">
        <v>207260</v>
      </c>
      <c r="E103">
        <v>890</v>
      </c>
      <c r="F103" s="137">
        <v>4.3E-3</v>
      </c>
      <c r="G103" s="203">
        <v>44325</v>
      </c>
      <c r="H103" t="s">
        <v>6686</v>
      </c>
      <c r="I103" s="40" t="s">
        <v>6633</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6687</v>
      </c>
      <c r="I104" s="40" t="s">
        <v>6633</v>
      </c>
      <c r="L104" s="40" t="str">
        <f t="shared" si="2"/>
        <v>USD,20210508,206390,206480,206370,206370,1,1,1</v>
      </c>
    </row>
    <row r="105" spans="1:12">
      <c r="A105" s="270">
        <v>218430</v>
      </c>
      <c r="B105" s="270">
        <v>217260</v>
      </c>
      <c r="C105" s="270">
        <v>206480</v>
      </c>
      <c r="D105" s="270">
        <v>206480</v>
      </c>
      <c r="E105">
        <v>2970</v>
      </c>
      <c r="F105" s="137">
        <v>1.44E-2</v>
      </c>
      <c r="G105" s="203">
        <v>44322</v>
      </c>
      <c r="H105" t="s">
        <v>6688</v>
      </c>
      <c r="I105" s="40" t="s">
        <v>6633</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6689</v>
      </c>
      <c r="I106" s="40" t="s">
        <v>6633</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6690</v>
      </c>
      <c r="I107" s="40" t="s">
        <v>6633</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6691</v>
      </c>
      <c r="I108" s="40" t="s">
        <v>6633</v>
      </c>
      <c r="L108" s="40" t="str">
        <f t="shared" si="2"/>
        <v>USD,20210502,229110,229130,218380,218380,1,1,1</v>
      </c>
    </row>
    <row r="109" spans="1:12">
      <c r="A109" s="270">
        <v>232640</v>
      </c>
      <c r="B109" s="270">
        <v>232310</v>
      </c>
      <c r="C109" s="270">
        <v>232420</v>
      </c>
      <c r="D109" s="270">
        <v>229100</v>
      </c>
      <c r="E109">
        <v>3210</v>
      </c>
      <c r="F109" s="137">
        <v>1.4E-2</v>
      </c>
      <c r="G109" s="203">
        <v>44317</v>
      </c>
      <c r="H109" t="s">
        <v>6692</v>
      </c>
      <c r="I109" s="40" t="s">
        <v>6633</v>
      </c>
      <c r="L109" s="40" t="str">
        <f t="shared" si="2"/>
        <v>USD,20210501,232340,232420,229020,229100,1,1,1</v>
      </c>
    </row>
    <row r="110" spans="1:12">
      <c r="A110" s="270">
        <v>232770</v>
      </c>
      <c r="B110" s="270">
        <v>232540</v>
      </c>
      <c r="C110" s="270">
        <v>232420</v>
      </c>
      <c r="D110" s="270">
        <v>232310</v>
      </c>
      <c r="E110">
        <v>20</v>
      </c>
      <c r="F110" s="137">
        <v>1E-4</v>
      </c>
      <c r="G110" s="203">
        <v>44315</v>
      </c>
      <c r="H110" t="s">
        <v>6693</v>
      </c>
      <c r="I110" s="40" t="s">
        <v>6633</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6694</v>
      </c>
      <c r="I111" s="40" t="s">
        <v>6633</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6695</v>
      </c>
      <c r="I112" s="40" t="s">
        <v>6633</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6696</v>
      </c>
      <c r="I113" s="40" t="s">
        <v>6633</v>
      </c>
      <c r="L113" s="40" t="str">
        <f t="shared" si="2"/>
        <v>USD,20210426,233380,233390,232750,232760,1,1,1</v>
      </c>
    </row>
    <row r="114" spans="1:12">
      <c r="A114" s="270">
        <v>233750</v>
      </c>
      <c r="B114" s="270">
        <v>233280</v>
      </c>
      <c r="C114" s="270">
        <v>233390</v>
      </c>
      <c r="D114" s="270">
        <v>233390</v>
      </c>
      <c r="E114">
        <v>20</v>
      </c>
      <c r="F114" s="137">
        <v>1E-4</v>
      </c>
      <c r="G114" s="203">
        <v>44311</v>
      </c>
      <c r="H114" t="s">
        <v>6697</v>
      </c>
      <c r="I114" s="40" t="s">
        <v>6633</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6698</v>
      </c>
      <c r="I115" s="40" t="s">
        <v>6633</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6677</v>
      </c>
      <c r="I116" s="40" t="s">
        <v>6633</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6699</v>
      </c>
      <c r="I117" s="40" t="s">
        <v>6633</v>
      </c>
      <c r="L117" s="40" t="str">
        <f t="shared" si="2"/>
        <v>USD,20210421,233650,233750,233640,233690,1,1,1</v>
      </c>
    </row>
    <row r="118" spans="1:12">
      <c r="A118" s="270">
        <v>239900</v>
      </c>
      <c r="B118" s="270">
        <v>238750</v>
      </c>
      <c r="C118" s="270">
        <v>238280</v>
      </c>
      <c r="D118" s="270">
        <v>233740</v>
      </c>
      <c r="E118">
        <v>4430</v>
      </c>
      <c r="F118" s="137">
        <v>1.9E-2</v>
      </c>
      <c r="G118" s="203">
        <v>44306</v>
      </c>
      <c r="H118" t="s">
        <v>6700</v>
      </c>
      <c r="I118" s="40" t="s">
        <v>6633</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6701</v>
      </c>
      <c r="I119" s="40" t="s">
        <v>6633</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6702</v>
      </c>
      <c r="I120" s="40" t="s">
        <v>6633</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6703</v>
      </c>
      <c r="I121" s="40" t="s">
        <v>6633</v>
      </c>
      <c r="L121" s="40" t="str">
        <f t="shared" si="3"/>
        <v>USD,20210417,239930,240000,239860,239930,1,1,1</v>
      </c>
    </row>
    <row r="122" spans="1:12">
      <c r="A122" s="270">
        <v>243020</v>
      </c>
      <c r="B122" s="270">
        <v>240790</v>
      </c>
      <c r="C122" s="270">
        <v>241010</v>
      </c>
      <c r="D122" s="270">
        <v>239870</v>
      </c>
      <c r="E122">
        <v>2480</v>
      </c>
      <c r="F122" s="137">
        <v>1.03E-2</v>
      </c>
      <c r="G122" s="203">
        <v>44301</v>
      </c>
      <c r="H122" t="s">
        <v>6704</v>
      </c>
      <c r="I122" s="40" t="s">
        <v>6633</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6705</v>
      </c>
      <c r="I123" s="40" t="s">
        <v>6633</v>
      </c>
      <c r="L123" s="40" t="str">
        <f t="shared" si="3"/>
        <v>USD,20210414,240800,242390,240790,242350,1,1,1</v>
      </c>
    </row>
    <row r="124" spans="1:12">
      <c r="A124" s="270">
        <v>241950</v>
      </c>
      <c r="B124" s="270">
        <v>241860</v>
      </c>
      <c r="C124" s="270">
        <v>243060</v>
      </c>
      <c r="D124" s="270">
        <v>240900</v>
      </c>
      <c r="E124">
        <v>2060</v>
      </c>
      <c r="F124" s="137">
        <v>8.6E-3</v>
      </c>
      <c r="G124" s="203">
        <v>44299</v>
      </c>
      <c r="H124" t="s">
        <v>6706</v>
      </c>
      <c r="I124" s="40" t="s">
        <v>6633</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6707</v>
      </c>
      <c r="I125" s="40" t="s">
        <v>6633</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6708</v>
      </c>
      <c r="I126" s="40" t="s">
        <v>6633</v>
      </c>
      <c r="L126" s="40" t="str">
        <f t="shared" si="3"/>
        <v>USD,20210411,241950,243930,241860,242850,1,1,1</v>
      </c>
    </row>
    <row r="127" spans="1:12">
      <c r="A127" s="270">
        <v>247150</v>
      </c>
      <c r="B127" s="270">
        <v>244620</v>
      </c>
      <c r="C127" s="270">
        <v>243570</v>
      </c>
      <c r="D127" s="270">
        <v>241880</v>
      </c>
      <c r="E127">
        <v>2780</v>
      </c>
      <c r="F127" s="137">
        <v>1.15E-2</v>
      </c>
      <c r="G127" s="203">
        <v>44296</v>
      </c>
      <c r="H127" t="s">
        <v>6709</v>
      </c>
      <c r="I127" s="40" t="s">
        <v>6633</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6710</v>
      </c>
      <c r="I128" s="40" t="s">
        <v>6633</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6711</v>
      </c>
      <c r="I129" s="40" t="s">
        <v>6633</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6712</v>
      </c>
      <c r="I130" s="40" t="s">
        <v>6633</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6713</v>
      </c>
      <c r="I131" s="40" t="s">
        <v>6633</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6714</v>
      </c>
      <c r="I132" s="40" t="s">
        <v>6633</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6715</v>
      </c>
      <c r="I133" s="40" t="s">
        <v>6633</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6716</v>
      </c>
      <c r="I134" s="40" t="s">
        <v>6633</v>
      </c>
      <c r="L134" s="40" t="str">
        <f t="shared" si="3"/>
        <v>USD,20210401,252040,252100,251990,252100,1,1,1</v>
      </c>
    </row>
    <row r="135" spans="1:12">
      <c r="A135" s="270">
        <v>247510</v>
      </c>
      <c r="B135" s="270">
        <v>247470</v>
      </c>
      <c r="C135" s="270">
        <v>252550</v>
      </c>
      <c r="D135" s="270">
        <v>252040</v>
      </c>
      <c r="E135">
        <v>500</v>
      </c>
      <c r="F135" s="137">
        <v>2E-3</v>
      </c>
      <c r="G135" s="203">
        <v>44286</v>
      </c>
      <c r="H135" t="s">
        <v>6717</v>
      </c>
      <c r="I135" s="40" t="s">
        <v>6633</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6718</v>
      </c>
      <c r="I136" s="40" t="s">
        <v>6633</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6719</v>
      </c>
      <c r="I137" s="40" t="s">
        <v>6633</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6720</v>
      </c>
      <c r="I138" s="40" t="s">
        <v>6633</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6721</v>
      </c>
      <c r="I139" s="40" t="s">
        <v>6633</v>
      </c>
      <c r="L139" s="40" t="str">
        <f t="shared" si="3"/>
        <v>USD,20210318,240410,240430,239550,239630,1,1,1</v>
      </c>
    </row>
    <row r="140" spans="1:12">
      <c r="A140" s="270">
        <v>239200</v>
      </c>
      <c r="B140" s="270">
        <v>239100</v>
      </c>
      <c r="C140" s="270">
        <v>240950</v>
      </c>
      <c r="D140" s="270">
        <v>240400</v>
      </c>
      <c r="E140">
        <v>490</v>
      </c>
      <c r="F140" s="137">
        <v>2E-3</v>
      </c>
      <c r="G140" s="203">
        <v>44272</v>
      </c>
      <c r="H140" t="s">
        <v>6722</v>
      </c>
      <c r="I140" s="40" t="s">
        <v>6633</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6347</v>
      </c>
      <c r="I141" s="40" t="s">
        <v>6633</v>
      </c>
      <c r="L141" s="40" t="str">
        <f t="shared" si="3"/>
        <v>USD,20210316,239200,241380,239100,240890,1,1,1</v>
      </c>
    </row>
    <row r="142" spans="1:12">
      <c r="A142" s="270">
        <v>242400</v>
      </c>
      <c r="B142" s="270">
        <v>241770</v>
      </c>
      <c r="C142" s="270">
        <v>239210</v>
      </c>
      <c r="D142" s="270">
        <v>239170</v>
      </c>
      <c r="E142" t="s">
        <v>6632</v>
      </c>
      <c r="F142" t="s">
        <v>6632</v>
      </c>
      <c r="G142" s="203">
        <v>44270</v>
      </c>
      <c r="H142" t="s">
        <v>6358</v>
      </c>
      <c r="I142" s="40" t="s">
        <v>6633</v>
      </c>
      <c r="L142" s="40" t="str">
        <f t="shared" si="3"/>
        <v>USD,20210315,239200,239210,239100,239170,1,1,1</v>
      </c>
    </row>
    <row r="143" spans="1:12">
      <c r="A143" s="270">
        <v>242100</v>
      </c>
      <c r="B143" s="270">
        <v>241240</v>
      </c>
      <c r="C143" s="270">
        <v>241880</v>
      </c>
      <c r="D143" s="270">
        <v>239170</v>
      </c>
      <c r="E143">
        <v>2600</v>
      </c>
      <c r="F143" s="137">
        <v>1.09E-2</v>
      </c>
      <c r="G143" s="203">
        <v>44269</v>
      </c>
      <c r="H143" t="s">
        <v>6723</v>
      </c>
      <c r="I143" s="40" t="s">
        <v>6633</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6724</v>
      </c>
      <c r="I144" s="40" t="s">
        <v>6633</v>
      </c>
      <c r="L144" s="40" t="str">
        <f t="shared" si="3"/>
        <v>USD,20210313,242400,243850,241770,241770,1,1,1</v>
      </c>
    </row>
    <row r="145" spans="1:12">
      <c r="A145" s="270">
        <v>239960</v>
      </c>
      <c r="B145" s="270">
        <v>239850</v>
      </c>
      <c r="C145" s="270">
        <v>242710</v>
      </c>
      <c r="D145" s="270">
        <v>242420</v>
      </c>
      <c r="E145">
        <v>350</v>
      </c>
      <c r="F145" s="137">
        <v>1.4E-3</v>
      </c>
      <c r="G145" s="203">
        <v>44265</v>
      </c>
      <c r="H145" t="s">
        <v>6353</v>
      </c>
      <c r="I145" s="40" t="s">
        <v>6633</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6510</v>
      </c>
      <c r="I146" s="40" t="s">
        <v>6633</v>
      </c>
      <c r="L146" s="40" t="str">
        <f t="shared" si="3"/>
        <v>USD,20210309,243240,244280,241050,242070,1,1,1</v>
      </c>
    </row>
    <row r="147" spans="1:12">
      <c r="A147" s="270">
        <v>246580</v>
      </c>
      <c r="B147" s="270">
        <v>242700</v>
      </c>
      <c r="C147" s="270">
        <v>244610</v>
      </c>
      <c r="D147" s="270">
        <v>243210</v>
      </c>
      <c r="E147">
        <v>3310</v>
      </c>
      <c r="F147" s="137">
        <v>1.38E-2</v>
      </c>
      <c r="G147" s="203">
        <v>44263</v>
      </c>
      <c r="H147" t="s">
        <v>6725</v>
      </c>
      <c r="I147" s="40" t="s">
        <v>6633</v>
      </c>
      <c r="L147" s="40" t="str">
        <f t="shared" si="3"/>
        <v>USD,20210308,239960,244610,239850,243210,1,1,1</v>
      </c>
    </row>
    <row r="148" spans="1:12">
      <c r="A148" s="270">
        <v>246700</v>
      </c>
      <c r="B148" s="270">
        <v>246530</v>
      </c>
      <c r="C148" s="270">
        <v>242810</v>
      </c>
      <c r="D148" s="270">
        <v>239900</v>
      </c>
      <c r="E148">
        <v>2810</v>
      </c>
      <c r="F148" s="137">
        <v>1.17E-2</v>
      </c>
      <c r="G148" s="203">
        <v>44262</v>
      </c>
      <c r="H148" t="s">
        <v>6726</v>
      </c>
      <c r="I148" s="40" t="s">
        <v>6633</v>
      </c>
      <c r="L148" s="40" t="str">
        <f t="shared" si="3"/>
        <v>USD,20210307,242800,242810,239850,239900,1,1,1</v>
      </c>
    </row>
    <row r="149" spans="1:12">
      <c r="A149" s="270">
        <v>244330</v>
      </c>
      <c r="B149" s="270">
        <v>244330</v>
      </c>
      <c r="C149" s="270">
        <v>246770</v>
      </c>
      <c r="D149" s="270">
        <v>242710</v>
      </c>
      <c r="E149">
        <v>3900</v>
      </c>
      <c r="F149" s="137">
        <v>1.61E-2</v>
      </c>
      <c r="G149" s="203">
        <v>44261</v>
      </c>
      <c r="H149" t="s">
        <v>6727</v>
      </c>
      <c r="I149" s="40" t="s">
        <v>6633</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6728</v>
      </c>
      <c r="I150" s="40" t="s">
        <v>6633</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6729</v>
      </c>
      <c r="I151" s="40" t="s">
        <v>6633</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6730</v>
      </c>
      <c r="I152" s="40" t="s">
        <v>6633</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6731</v>
      </c>
      <c r="I153" s="40" t="s">
        <v>6633</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6732</v>
      </c>
      <c r="I154" s="40" t="s">
        <v>6633</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6733</v>
      </c>
      <c r="I155" s="40" t="s">
        <v>6633</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6734</v>
      </c>
      <c r="I156" s="40" t="s">
        <v>6633</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6735</v>
      </c>
      <c r="I157" s="40" t="s">
        <v>6633</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6736</v>
      </c>
      <c r="I158" s="40" t="s">
        <v>6633</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6737</v>
      </c>
      <c r="I159" s="40" t="s">
        <v>6633</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6738</v>
      </c>
      <c r="I160" s="40" t="s">
        <v>6633</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6739</v>
      </c>
      <c r="I161" s="40" t="s">
        <v>6633</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6740</v>
      </c>
      <c r="I162" s="40" t="s">
        <v>6633</v>
      </c>
      <c r="L162" s="40" t="str">
        <f t="shared" si="3"/>
        <v>USD,20210217,249780,251850,249740,251750,1,1,1</v>
      </c>
    </row>
    <row r="163" spans="1:12">
      <c r="A163" s="270">
        <v>249830</v>
      </c>
      <c r="B163" s="270">
        <v>249740</v>
      </c>
      <c r="C163" s="270">
        <v>249850</v>
      </c>
      <c r="D163" s="270">
        <v>249740</v>
      </c>
      <c r="E163" t="s">
        <v>6632</v>
      </c>
      <c r="F163" t="s">
        <v>6632</v>
      </c>
      <c r="G163" s="203">
        <v>44243</v>
      </c>
      <c r="H163" t="s">
        <v>6741</v>
      </c>
      <c r="I163" s="40" t="s">
        <v>6633</v>
      </c>
      <c r="L163" s="40" t="str">
        <f t="shared" si="3"/>
        <v>USD,20210216,249820,249850,249740,249740,1,1,1</v>
      </c>
    </row>
    <row r="164" spans="1:12">
      <c r="A164" s="270">
        <v>247040</v>
      </c>
      <c r="B164" s="270">
        <v>246940</v>
      </c>
      <c r="C164" s="270">
        <v>249850</v>
      </c>
      <c r="D164" s="270">
        <v>249740</v>
      </c>
      <c r="E164">
        <v>30</v>
      </c>
      <c r="F164" s="137">
        <v>1E-4</v>
      </c>
      <c r="G164" s="203">
        <v>44242</v>
      </c>
      <c r="H164" t="s">
        <v>6742</v>
      </c>
      <c r="I164" s="40" t="s">
        <v>6633</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6743</v>
      </c>
      <c r="I165" s="40" t="s">
        <v>6633</v>
      </c>
      <c r="L165" s="40" t="str">
        <f t="shared" si="3"/>
        <v>USD,20210214,249830,249850,249740,249770,1,1,1</v>
      </c>
    </row>
    <row r="166" spans="1:12">
      <c r="A166" s="270">
        <v>238970</v>
      </c>
      <c r="B166" s="270">
        <v>238940</v>
      </c>
      <c r="C166" s="270">
        <v>249850</v>
      </c>
      <c r="D166" s="270">
        <v>249810</v>
      </c>
      <c r="E166">
        <v>2850</v>
      </c>
      <c r="F166" s="137">
        <v>1.15E-2</v>
      </c>
      <c r="G166" s="203">
        <v>44240</v>
      </c>
      <c r="H166" t="s">
        <v>6744</v>
      </c>
      <c r="I166" s="40" t="s">
        <v>6633</v>
      </c>
      <c r="L166" s="40" t="str">
        <f t="shared" si="3"/>
        <v>USD,20210213,247040,249850,246940,249810,1,1,1</v>
      </c>
    </row>
    <row r="167" spans="1:12">
      <c r="A167" s="270">
        <v>237050</v>
      </c>
      <c r="B167" s="270">
        <v>236940</v>
      </c>
      <c r="C167" s="270">
        <v>247050</v>
      </c>
      <c r="D167" s="270">
        <v>246960</v>
      </c>
      <c r="E167">
        <v>5930</v>
      </c>
      <c r="F167" s="137">
        <v>2.46E-2</v>
      </c>
      <c r="G167" s="203">
        <v>44238</v>
      </c>
      <c r="H167" t="s">
        <v>6745</v>
      </c>
      <c r="I167" s="40" t="s">
        <v>6633</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6746</v>
      </c>
      <c r="I168" s="40" t="s">
        <v>6633</v>
      </c>
      <c r="L168" s="40" t="str">
        <f t="shared" si="3"/>
        <v>USD,20210209,238970,241050,238940,241030,1,1,1</v>
      </c>
    </row>
    <row r="169" spans="1:12">
      <c r="A169" s="270">
        <v>237520</v>
      </c>
      <c r="B169" s="270">
        <v>237440</v>
      </c>
      <c r="C169" s="270">
        <v>237050</v>
      </c>
      <c r="D169" s="270">
        <v>236940</v>
      </c>
      <c r="E169">
        <v>20</v>
      </c>
      <c r="F169" s="137">
        <v>1E-4</v>
      </c>
      <c r="G169" s="203">
        <v>44235</v>
      </c>
      <c r="H169" t="s">
        <v>6747</v>
      </c>
      <c r="I169" s="40" t="s">
        <v>6633</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6748</v>
      </c>
      <c r="I170" s="40" t="s">
        <v>6633</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6749</v>
      </c>
      <c r="I171" s="40" t="s">
        <v>6633</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6750</v>
      </c>
      <c r="I172" s="40" t="s">
        <v>6633</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6751</v>
      </c>
      <c r="I173" s="40" t="s">
        <v>6633</v>
      </c>
      <c r="L173" s="40" t="str">
        <f t="shared" si="3"/>
        <v>USD,20210203,238680,238750,237640,237660,1,1,1</v>
      </c>
    </row>
    <row r="174" spans="1:12">
      <c r="A174" s="270">
        <v>237180</v>
      </c>
      <c r="B174" s="270">
        <v>237140</v>
      </c>
      <c r="C174" s="270">
        <v>238750</v>
      </c>
      <c r="D174" s="270">
        <v>238710</v>
      </c>
      <c r="E174">
        <v>10</v>
      </c>
      <c r="F174" t="s">
        <v>6632</v>
      </c>
      <c r="G174" s="203">
        <v>44229</v>
      </c>
      <c r="H174" t="s">
        <v>6752</v>
      </c>
      <c r="I174" s="40" t="s">
        <v>6633</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6753</v>
      </c>
      <c r="I175" s="40" t="s">
        <v>6633</v>
      </c>
      <c r="L175" s="40" t="str">
        <f t="shared" si="3"/>
        <v>USD,20210201,239170,239170,238640,238720,1,1,1</v>
      </c>
    </row>
    <row r="176" spans="1:12">
      <c r="A176" s="270">
        <v>234070</v>
      </c>
      <c r="B176" s="270">
        <v>232040</v>
      </c>
      <c r="C176" s="270">
        <v>239250</v>
      </c>
      <c r="D176" s="270">
        <v>239210</v>
      </c>
      <c r="E176">
        <v>2040</v>
      </c>
      <c r="F176" s="137">
        <v>8.6E-3</v>
      </c>
      <c r="G176" s="203">
        <v>44227</v>
      </c>
      <c r="H176" t="s">
        <v>6754</v>
      </c>
      <c r="I176" s="40" t="s">
        <v>6633</v>
      </c>
      <c r="L176" s="40" t="str">
        <f t="shared" si="3"/>
        <v>USD,20210131,237180,239250,237140,239210,1,1,1</v>
      </c>
    </row>
    <row r="177" spans="1:12">
      <c r="A177" s="270">
        <v>229150</v>
      </c>
      <c r="B177" s="270">
        <v>229140</v>
      </c>
      <c r="C177" s="270">
        <v>237250</v>
      </c>
      <c r="D177" s="270">
        <v>237170</v>
      </c>
      <c r="E177">
        <v>5060</v>
      </c>
      <c r="F177" s="137">
        <v>2.18E-2</v>
      </c>
      <c r="G177" s="203">
        <v>44226</v>
      </c>
      <c r="H177" t="s">
        <v>6755</v>
      </c>
      <c r="I177" s="40" t="s">
        <v>6633</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6756</v>
      </c>
      <c r="I178" s="40" t="s">
        <v>6633</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6757</v>
      </c>
      <c r="I179" s="40" t="s">
        <v>6633</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6758</v>
      </c>
      <c r="I180" s="40" t="s">
        <v>6633</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6759</v>
      </c>
      <c r="I181" s="40" t="s">
        <v>6633</v>
      </c>
      <c r="L181" s="40" t="str">
        <f t="shared" si="3"/>
        <v>USD,20210125,224250,229750,224240,229660,1,1,1</v>
      </c>
    </row>
    <row r="182" spans="1:12">
      <c r="A182" s="270">
        <v>226510</v>
      </c>
      <c r="B182" s="270">
        <v>226440</v>
      </c>
      <c r="C182" s="270">
        <v>224350</v>
      </c>
      <c r="D182" s="270">
        <v>224340</v>
      </c>
      <c r="E182">
        <v>20</v>
      </c>
      <c r="F182" s="137">
        <v>1E-4</v>
      </c>
      <c r="G182" s="203">
        <v>44220</v>
      </c>
      <c r="H182" t="s">
        <v>6760</v>
      </c>
      <c r="I182" s="40" t="s">
        <v>6633</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6761</v>
      </c>
      <c r="I183" s="40" t="s">
        <v>6633</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6762</v>
      </c>
      <c r="I184" s="40" t="s">
        <v>6633</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6763</v>
      </c>
      <c r="I185" s="40" t="s">
        <v>6633</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6764</v>
      </c>
      <c r="I186" s="40" t="s">
        <v>6633</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6765</v>
      </c>
      <c r="I187" s="40" t="s">
        <v>6633</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6766</v>
      </c>
      <c r="I188" s="40" t="s">
        <v>6633</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6767</v>
      </c>
      <c r="I189" s="40" t="s">
        <v>6633</v>
      </c>
      <c r="L189" s="40" t="str">
        <f t="shared" si="4"/>
        <v>USD,20210114,242870,242950,239440,239530,1,1,1</v>
      </c>
    </row>
    <row r="190" spans="1:12">
      <c r="A190" s="270">
        <v>248450</v>
      </c>
      <c r="B190" s="270">
        <v>248440</v>
      </c>
      <c r="C190" s="270">
        <v>248550</v>
      </c>
      <c r="D190" s="270">
        <v>244980</v>
      </c>
      <c r="E190">
        <v>3460</v>
      </c>
      <c r="F190" s="137">
        <v>1.41E-2</v>
      </c>
      <c r="G190" s="203">
        <v>44209</v>
      </c>
      <c r="H190" t="s">
        <v>6768</v>
      </c>
      <c r="I190" s="40" t="s">
        <v>6633</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6769</v>
      </c>
      <c r="I191" s="40" t="s">
        <v>6633</v>
      </c>
      <c r="L191" s="40" t="str">
        <f t="shared" si="4"/>
        <v>USD,20210112,248540,248550,248440,248440,1,1,1</v>
      </c>
    </row>
    <row r="192" spans="1:12">
      <c r="A192" s="270">
        <v>255550</v>
      </c>
      <c r="B192" s="270">
        <v>248640</v>
      </c>
      <c r="C192" s="270">
        <v>249550</v>
      </c>
      <c r="D192" s="270">
        <v>248490</v>
      </c>
      <c r="E192">
        <v>30</v>
      </c>
      <c r="F192" s="137">
        <v>1E-4</v>
      </c>
      <c r="G192" s="203">
        <v>44207</v>
      </c>
      <c r="H192" t="s">
        <v>6770</v>
      </c>
      <c r="I192" s="40" t="s">
        <v>6633</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6771</v>
      </c>
      <c r="I193" s="40" t="s">
        <v>6633</v>
      </c>
      <c r="L193" s="40" t="str">
        <f t="shared" si="4"/>
        <v>USD,20210110,248690,248690,245840,248520,1,1,1</v>
      </c>
    </row>
    <row r="194" spans="1:12">
      <c r="A194" s="270">
        <v>259030</v>
      </c>
      <c r="B194" s="270">
        <v>258440</v>
      </c>
      <c r="C194" s="270">
        <v>255550</v>
      </c>
      <c r="D194" s="270">
        <v>248660</v>
      </c>
      <c r="E194">
        <v>6850</v>
      </c>
      <c r="F194" s="137">
        <v>2.75E-2</v>
      </c>
      <c r="G194" s="203">
        <v>44205</v>
      </c>
      <c r="H194" t="s">
        <v>6772</v>
      </c>
      <c r="I194" s="40" t="s">
        <v>6633</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6773</v>
      </c>
      <c r="I195" s="40" t="s">
        <v>6633</v>
      </c>
      <c r="L195" s="40" t="str">
        <f t="shared" si="4"/>
        <v>USD,20210107,257530,257550,255440,255510,1,1,1</v>
      </c>
    </row>
    <row r="196" spans="1:12">
      <c r="A196" s="270">
        <v>255650</v>
      </c>
      <c r="B196" s="270">
        <v>255640</v>
      </c>
      <c r="C196" s="270">
        <v>259050</v>
      </c>
      <c r="D196" s="270">
        <v>258540</v>
      </c>
      <c r="E196">
        <v>480</v>
      </c>
      <c r="F196" s="137">
        <v>1.9E-3</v>
      </c>
      <c r="G196" s="203">
        <v>44202</v>
      </c>
      <c r="H196" t="s">
        <v>6774</v>
      </c>
      <c r="I196" s="40" t="s">
        <v>6633</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6775</v>
      </c>
      <c r="I197" s="40" t="s">
        <v>6633</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6512</v>
      </c>
      <c r="I198" s="40" t="s">
        <v>6633</v>
      </c>
      <c r="L198" s="40" t="str">
        <f t="shared" si="4"/>
        <v>USD,20210104,255650,257750,255640,257640,1,1,1</v>
      </c>
    </row>
    <row r="199" spans="1:12">
      <c r="A199" s="270">
        <v>257020</v>
      </c>
      <c r="B199" s="270">
        <v>256940</v>
      </c>
      <c r="C199" s="270">
        <v>256250</v>
      </c>
      <c r="D199" s="270">
        <v>255670</v>
      </c>
      <c r="E199">
        <v>520</v>
      </c>
      <c r="F199" s="137">
        <v>2E-3</v>
      </c>
      <c r="G199" s="203">
        <v>44199</v>
      </c>
      <c r="H199" t="s">
        <v>6776</v>
      </c>
      <c r="I199" s="40" t="s">
        <v>6633</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6777</v>
      </c>
      <c r="I200" s="40" t="s">
        <v>6633</v>
      </c>
      <c r="L200" s="40" t="str">
        <f t="shared" si="4"/>
        <v>USD,20210102,256990,257050,256140,256190,1,1,1</v>
      </c>
    </row>
    <row r="201" spans="1:12">
      <c r="A201" s="270">
        <v>257440</v>
      </c>
      <c r="B201" s="270">
        <v>256940</v>
      </c>
      <c r="C201" s="270">
        <v>257050</v>
      </c>
      <c r="D201" s="270">
        <v>257010</v>
      </c>
      <c r="E201">
        <v>30</v>
      </c>
      <c r="F201" s="137">
        <v>1E-4</v>
      </c>
      <c r="G201" s="203">
        <v>44196</v>
      </c>
      <c r="H201" t="s">
        <v>6778</v>
      </c>
      <c r="I201" s="40" t="s">
        <v>6633</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6779</v>
      </c>
      <c r="I202" s="40" t="s">
        <v>6633</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6780</v>
      </c>
      <c r="I203" s="40" t="s">
        <v>6633</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6781</v>
      </c>
      <c r="I204" s="40" t="s">
        <v>6633</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6782</v>
      </c>
      <c r="I205" s="40" t="s">
        <v>6633</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6783</v>
      </c>
      <c r="I206" s="40" t="s">
        <v>6633</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6784</v>
      </c>
      <c r="I207" s="40" t="s">
        <v>6633</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6785</v>
      </c>
      <c r="I208" s="40" t="s">
        <v>6633</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6786</v>
      </c>
      <c r="I209" s="40" t="s">
        <v>6633</v>
      </c>
      <c r="L209" s="40" t="str">
        <f t="shared" si="4"/>
        <v>USD,20201222,254460,255250,254440,255160,1,1,1</v>
      </c>
    </row>
    <row r="210" spans="1:12">
      <c r="A210" s="270">
        <v>257440</v>
      </c>
      <c r="B210" s="270">
        <v>254940</v>
      </c>
      <c r="C210" s="270">
        <v>254550</v>
      </c>
      <c r="D210" s="270">
        <v>254470</v>
      </c>
      <c r="E210">
        <v>510</v>
      </c>
      <c r="F210" s="137">
        <v>2E-3</v>
      </c>
      <c r="G210" s="203">
        <v>44186</v>
      </c>
      <c r="H210" t="s">
        <v>6787</v>
      </c>
      <c r="I210" s="40" t="s">
        <v>6633</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6348</v>
      </c>
      <c r="I211" s="40" t="s">
        <v>6633</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6788</v>
      </c>
      <c r="I212" s="40" t="s">
        <v>6633</v>
      </c>
      <c r="L212" s="40" t="str">
        <f t="shared" si="4"/>
        <v>USD,20201219,257440,257550,254940,254990,1,1,1</v>
      </c>
    </row>
    <row r="213" spans="1:12">
      <c r="A213" s="270">
        <v>256960</v>
      </c>
      <c r="B213" s="270">
        <v>256440</v>
      </c>
      <c r="C213" s="270">
        <v>258050</v>
      </c>
      <c r="D213" s="270">
        <v>258020</v>
      </c>
      <c r="E213">
        <v>10</v>
      </c>
      <c r="F213" t="s">
        <v>6632</v>
      </c>
      <c r="G213" s="203">
        <v>44182</v>
      </c>
      <c r="H213" t="s">
        <v>6789</v>
      </c>
      <c r="I213" s="40" t="s">
        <v>6633</v>
      </c>
      <c r="L213" s="40" t="str">
        <f t="shared" si="4"/>
        <v>USD,20201217,258040,258050,257940,258020,1,1,1</v>
      </c>
    </row>
    <row r="214" spans="1:12">
      <c r="A214" s="270">
        <v>257980</v>
      </c>
      <c r="B214" s="270">
        <v>256940</v>
      </c>
      <c r="C214" s="270">
        <v>259550</v>
      </c>
      <c r="D214" s="270">
        <v>258030</v>
      </c>
      <c r="E214">
        <v>510</v>
      </c>
      <c r="F214" s="137">
        <v>2E-3</v>
      </c>
      <c r="G214" s="203">
        <v>44181</v>
      </c>
      <c r="H214" t="s">
        <v>6790</v>
      </c>
      <c r="I214" s="40" t="s">
        <v>6633</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6792</v>
      </c>
      <c r="I215" s="40" t="s">
        <v>6633</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6793</v>
      </c>
      <c r="I216" s="40" t="s">
        <v>6633</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6794</v>
      </c>
      <c r="I217" s="40" t="s">
        <v>6633</v>
      </c>
      <c r="L217" s="40" t="str">
        <f t="shared" si="4"/>
        <v>USD,20201213,259960,260050,257940,258040,1,1,1</v>
      </c>
    </row>
    <row r="218" spans="1:12">
      <c r="A218" s="270">
        <v>255970</v>
      </c>
      <c r="B218" s="270">
        <v>255940</v>
      </c>
      <c r="C218" s="270">
        <v>260750</v>
      </c>
      <c r="D218" s="270">
        <v>260050</v>
      </c>
      <c r="E218">
        <v>600</v>
      </c>
      <c r="F218" s="137">
        <v>2.3E-3</v>
      </c>
      <c r="G218" s="203">
        <v>44177</v>
      </c>
      <c r="H218" t="s">
        <v>6795</v>
      </c>
      <c r="I218" s="40" t="s">
        <v>6633</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6796</v>
      </c>
      <c r="I219" s="40" t="s">
        <v>6633</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6797</v>
      </c>
      <c r="I220" s="40" t="s">
        <v>6633</v>
      </c>
      <c r="L220" s="40" t="str">
        <f t="shared" si="4"/>
        <v>USD,20201209,255970,259850,255940,259770,1,1,1</v>
      </c>
    </row>
    <row r="221" spans="1:12">
      <c r="A221" s="270">
        <v>256950</v>
      </c>
      <c r="B221" s="270">
        <v>255940</v>
      </c>
      <c r="C221" s="270">
        <v>256050</v>
      </c>
      <c r="D221" s="270">
        <v>255940</v>
      </c>
      <c r="E221">
        <v>10</v>
      </c>
      <c r="F221" t="s">
        <v>6632</v>
      </c>
      <c r="G221" s="203">
        <v>44173</v>
      </c>
      <c r="H221" t="s">
        <v>6798</v>
      </c>
      <c r="I221" s="40" t="s">
        <v>6633</v>
      </c>
      <c r="L221" s="40" t="str">
        <f t="shared" si="4"/>
        <v>USD,20201208,255980,256050,255940,255940,1,1,1</v>
      </c>
    </row>
    <row r="222" spans="1:12">
      <c r="A222" s="270">
        <v>254710</v>
      </c>
      <c r="B222" s="270">
        <v>254670</v>
      </c>
      <c r="C222" s="270">
        <v>256050</v>
      </c>
      <c r="D222" s="270">
        <v>255950</v>
      </c>
      <c r="E222" t="s">
        <v>6632</v>
      </c>
      <c r="F222" t="s">
        <v>6632</v>
      </c>
      <c r="G222" s="203">
        <v>44172</v>
      </c>
      <c r="H222" t="s">
        <v>6799</v>
      </c>
      <c r="I222" s="40" t="s">
        <v>6633</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6800</v>
      </c>
      <c r="I223" s="40" t="s">
        <v>6633</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6801</v>
      </c>
      <c r="I224" s="40" t="s">
        <v>6633</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6802</v>
      </c>
      <c r="I225" s="40" t="s">
        <v>6633</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6803</v>
      </c>
      <c r="I226" s="40" t="s">
        <v>6633</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6804</v>
      </c>
      <c r="I227" s="40" t="s">
        <v>6633</v>
      </c>
      <c r="L227" s="40" t="str">
        <f t="shared" si="4"/>
        <v>USD,20201201,250070,256270,245160,256160,1,1,1</v>
      </c>
    </row>
    <row r="228" spans="1:12">
      <c r="A228" s="270">
        <v>247560</v>
      </c>
      <c r="B228" s="270">
        <v>247460</v>
      </c>
      <c r="C228" s="270">
        <v>253050</v>
      </c>
      <c r="D228" s="270">
        <v>250030</v>
      </c>
      <c r="E228">
        <v>4520</v>
      </c>
      <c r="F228" s="137">
        <v>1.84E-2</v>
      </c>
      <c r="G228" s="203">
        <v>44165</v>
      </c>
      <c r="H228" t="s">
        <v>6805</v>
      </c>
      <c r="I228" s="40" t="s">
        <v>6633</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6806</v>
      </c>
      <c r="I229" s="40" t="s">
        <v>6633</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6807</v>
      </c>
      <c r="I230" s="40" t="s">
        <v>6633</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6808</v>
      </c>
      <c r="I231" s="40" t="s">
        <v>6633</v>
      </c>
      <c r="L231" s="40" t="str">
        <f t="shared" si="4"/>
        <v>USD,20201126,248500,248570,247460,247570,1,1,1</v>
      </c>
    </row>
    <row r="232" spans="1:12">
      <c r="A232" s="270">
        <v>256030</v>
      </c>
      <c r="B232" s="270">
        <v>255450</v>
      </c>
      <c r="C232" s="270">
        <v>250570</v>
      </c>
      <c r="D232" s="270">
        <v>249500</v>
      </c>
      <c r="E232">
        <v>960</v>
      </c>
      <c r="F232" s="137">
        <v>3.8E-3</v>
      </c>
      <c r="G232" s="203">
        <v>44160</v>
      </c>
      <c r="H232" t="s">
        <v>6809</v>
      </c>
      <c r="I232" s="40" t="s">
        <v>6633</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6810</v>
      </c>
      <c r="I233" s="40" t="s">
        <v>6633</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6811</v>
      </c>
      <c r="I234" s="40" t="s">
        <v>6633</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6791</v>
      </c>
      <c r="I235" s="40" t="s">
        <v>6633</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6812</v>
      </c>
      <c r="I236" s="40" t="s">
        <v>6633</v>
      </c>
      <c r="L236" s="40" t="str">
        <f t="shared" si="4"/>
        <v>USD,20201121,256250,260560,256150,259550,1,1,1</v>
      </c>
    </row>
    <row r="237" spans="1:12">
      <c r="A237" s="270">
        <v>258960</v>
      </c>
      <c r="B237" s="270">
        <v>258950</v>
      </c>
      <c r="C237" s="270">
        <v>256260</v>
      </c>
      <c r="D237" s="270">
        <v>256200</v>
      </c>
      <c r="E237">
        <v>20</v>
      </c>
      <c r="F237" s="137">
        <v>1E-4</v>
      </c>
      <c r="G237" s="203">
        <v>44154</v>
      </c>
      <c r="H237" t="s">
        <v>6813</v>
      </c>
      <c r="I237" s="40" t="s">
        <v>6633</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6814</v>
      </c>
      <c r="I238" s="40" t="s">
        <v>6633</v>
      </c>
      <c r="L238" s="40" t="str">
        <f t="shared" si="4"/>
        <v>USD,20201118,259020,259020,256150,256220,1,1,1</v>
      </c>
    </row>
    <row r="239" spans="1:12">
      <c r="A239" s="270">
        <v>267480</v>
      </c>
      <c r="B239" s="270">
        <v>259950</v>
      </c>
      <c r="C239" s="270">
        <v>262060</v>
      </c>
      <c r="D239" s="270">
        <v>258970</v>
      </c>
      <c r="E239">
        <v>10</v>
      </c>
      <c r="F239" t="s">
        <v>6632</v>
      </c>
      <c r="G239" s="203">
        <v>44152</v>
      </c>
      <c r="H239" t="s">
        <v>6815</v>
      </c>
      <c r="I239" s="40" t="s">
        <v>6633</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6816</v>
      </c>
      <c r="I240" s="40" t="s">
        <v>6633</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6817</v>
      </c>
      <c r="I241" s="40" t="s">
        <v>6633</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6818</v>
      </c>
      <c r="I242" s="40" t="s">
        <v>6633</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6819</v>
      </c>
      <c r="I243" s="40" t="s">
        <v>6633</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6820</v>
      </c>
      <c r="I244" s="40" t="s">
        <v>6633</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6821</v>
      </c>
      <c r="I245" s="40" t="s">
        <v>6633</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6822</v>
      </c>
      <c r="I246" s="40" t="s">
        <v>6633</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6823</v>
      </c>
      <c r="I247" s="40" t="s">
        <v>6633</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6824</v>
      </c>
      <c r="I248" s="40" t="s">
        <v>6633</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6825</v>
      </c>
      <c r="I249" s="40" t="s">
        <v>6633</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6826</v>
      </c>
      <c r="I250" s="40" t="s">
        <v>6633</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6827</v>
      </c>
      <c r="I251" s="40" t="s">
        <v>6633</v>
      </c>
      <c r="L251" s="40" t="str">
        <f t="shared" si="5"/>
        <v>USD,20201102,272020,282460,271950,282420,1,1,1</v>
      </c>
    </row>
    <row r="252" spans="1:12">
      <c r="A252" s="270">
        <v>277460</v>
      </c>
      <c r="B252" s="270">
        <v>277450</v>
      </c>
      <c r="C252" s="270">
        <v>272060</v>
      </c>
      <c r="D252" s="270">
        <v>272060</v>
      </c>
      <c r="E252">
        <v>3340</v>
      </c>
      <c r="F252" s="137">
        <v>1.24E-2</v>
      </c>
      <c r="G252" s="203">
        <v>44136</v>
      </c>
      <c r="H252" t="s">
        <v>6828</v>
      </c>
      <c r="I252" s="40" t="s">
        <v>6633</v>
      </c>
      <c r="L252" s="40" t="str">
        <f t="shared" si="5"/>
        <v>USD,20201101,268670,272060,266950,272060,1,1,1</v>
      </c>
    </row>
    <row r="253" spans="1:12">
      <c r="A253" s="270">
        <v>282300</v>
      </c>
      <c r="B253" s="270">
        <v>278450</v>
      </c>
      <c r="C253" s="270">
        <v>277260</v>
      </c>
      <c r="D253" s="270">
        <v>268720</v>
      </c>
      <c r="E253">
        <v>8780</v>
      </c>
      <c r="F253" s="137">
        <v>3.27E-2</v>
      </c>
      <c r="G253" s="203">
        <v>44135</v>
      </c>
      <c r="H253" t="s">
        <v>6829</v>
      </c>
      <c r="I253" s="40" t="s">
        <v>6633</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6830</v>
      </c>
      <c r="I254" s="40" t="s">
        <v>6633</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6831</v>
      </c>
      <c r="I255" s="40" t="s">
        <v>6633</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6832</v>
      </c>
      <c r="I256" s="40" t="s">
        <v>6633</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6833</v>
      </c>
      <c r="I257" s="40" t="s">
        <v>6633</v>
      </c>
      <c r="L257" s="40" t="str">
        <f t="shared" si="5"/>
        <v>USD,20201026,289960,289990,279750,279860,1,1,1</v>
      </c>
    </row>
    <row r="258" spans="1:12">
      <c r="A258" s="270">
        <v>275470</v>
      </c>
      <c r="B258" s="270">
        <v>274450</v>
      </c>
      <c r="C258" s="270">
        <v>293860</v>
      </c>
      <c r="D258" s="270">
        <v>290000</v>
      </c>
      <c r="E258">
        <v>3750</v>
      </c>
      <c r="F258" s="137">
        <v>1.29E-2</v>
      </c>
      <c r="G258" s="203">
        <v>44128</v>
      </c>
      <c r="H258" t="s">
        <v>6834</v>
      </c>
      <c r="I258" s="40" t="s">
        <v>6633</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6835</v>
      </c>
      <c r="I259" s="40" t="s">
        <v>6633</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6836</v>
      </c>
      <c r="I260" s="40" t="s">
        <v>6633</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6837</v>
      </c>
      <c r="I261" s="40" t="s">
        <v>6633</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6838</v>
      </c>
      <c r="I262" s="40" t="s">
        <v>6633</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6839</v>
      </c>
      <c r="I263" s="40" t="s">
        <v>6633</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6840</v>
      </c>
      <c r="I264" s="40" t="s">
        <v>6633</v>
      </c>
      <c r="L264" s="40" t="str">
        <f t="shared" si="5"/>
        <v>USD,20201015,317000,317060,316950,317040,1,1,1</v>
      </c>
    </row>
    <row r="265" spans="1:12">
      <c r="A265" s="270">
        <v>311520</v>
      </c>
      <c r="B265" s="270">
        <v>301950</v>
      </c>
      <c r="C265" s="270">
        <v>315860</v>
      </c>
      <c r="D265" s="270">
        <v>315000</v>
      </c>
      <c r="E265">
        <v>1980</v>
      </c>
      <c r="F265" s="137">
        <v>6.3E-3</v>
      </c>
      <c r="G265" s="203">
        <v>44118</v>
      </c>
      <c r="H265" t="s">
        <v>6841</v>
      </c>
      <c r="I265" s="40" t="s">
        <v>6633</v>
      </c>
      <c r="L265" s="40" t="str">
        <f t="shared" si="5"/>
        <v>USD,20201014,312990,315860,312950,315000,1,1,1</v>
      </c>
    </row>
    <row r="266" spans="1:12">
      <c r="A266" s="270">
        <v>299480</v>
      </c>
      <c r="B266" s="270">
        <v>299450</v>
      </c>
      <c r="C266" s="270">
        <v>315060</v>
      </c>
      <c r="D266" s="270">
        <v>313020</v>
      </c>
      <c r="E266">
        <v>9060</v>
      </c>
      <c r="F266" s="137">
        <v>2.98E-2</v>
      </c>
      <c r="G266" s="203">
        <v>44117</v>
      </c>
      <c r="H266" t="s">
        <v>6842</v>
      </c>
      <c r="I266" s="40" t="s">
        <v>6633</v>
      </c>
      <c r="L266" s="40" t="str">
        <f t="shared" si="5"/>
        <v>USD,20201013,304040,315060,303950,313020,1,1,1</v>
      </c>
    </row>
    <row r="267" spans="1:12">
      <c r="A267" s="270">
        <v>291970</v>
      </c>
      <c r="B267" s="270">
        <v>291950</v>
      </c>
      <c r="C267" s="270">
        <v>311560</v>
      </c>
      <c r="D267" s="270">
        <v>303960</v>
      </c>
      <c r="E267">
        <v>7490</v>
      </c>
      <c r="F267" s="137">
        <v>2.46E-2</v>
      </c>
      <c r="G267" s="203">
        <v>44116</v>
      </c>
      <c r="H267" t="s">
        <v>6843</v>
      </c>
      <c r="I267" s="40" t="s">
        <v>6633</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6844</v>
      </c>
      <c r="I268" s="40" t="s">
        <v>6633</v>
      </c>
      <c r="L268" s="40" t="str">
        <f t="shared" si="5"/>
        <v>USD,20201011,299480,311560,299450,311450,1,1,1</v>
      </c>
    </row>
    <row r="269" spans="1:12">
      <c r="A269" s="270">
        <v>281970</v>
      </c>
      <c r="B269" s="270">
        <v>281950</v>
      </c>
      <c r="C269" s="270">
        <v>299560</v>
      </c>
      <c r="D269" s="270">
        <v>299560</v>
      </c>
      <c r="E269">
        <v>7540</v>
      </c>
      <c r="F269" s="137">
        <v>2.58E-2</v>
      </c>
      <c r="G269" s="203">
        <v>44114</v>
      </c>
      <c r="H269" t="s">
        <v>6845</v>
      </c>
      <c r="I269" s="40" t="s">
        <v>6633</v>
      </c>
      <c r="L269" s="40" t="str">
        <f t="shared" si="5"/>
        <v>USD,20201010,291970,299560,291950,299560,1,1,1</v>
      </c>
    </row>
    <row r="270" spans="1:12">
      <c r="A270" s="270">
        <v>269960</v>
      </c>
      <c r="B270" s="270">
        <v>269450</v>
      </c>
      <c r="C270" s="270">
        <v>292060</v>
      </c>
      <c r="D270" s="270">
        <v>292020</v>
      </c>
      <c r="E270">
        <v>20</v>
      </c>
      <c r="F270" s="137">
        <v>1E-4</v>
      </c>
      <c r="G270" s="203">
        <v>44111</v>
      </c>
      <c r="H270" t="s">
        <v>6846</v>
      </c>
      <c r="I270" s="40" t="s">
        <v>6633</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6847</v>
      </c>
      <c r="I271" s="40" t="s">
        <v>6633</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6848</v>
      </c>
      <c r="I272" s="40" t="s">
        <v>6633</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6849</v>
      </c>
      <c r="I273" s="40" t="s">
        <v>6633</v>
      </c>
      <c r="L273" s="40" t="str">
        <f t="shared" si="5"/>
        <v>USD,20201004,284550,284560,269950,269950,1,1,1</v>
      </c>
    </row>
    <row r="274" spans="1:12">
      <c r="A274" s="270">
        <v>285040</v>
      </c>
      <c r="B274" s="270">
        <v>284950</v>
      </c>
      <c r="C274" s="270">
        <v>289060</v>
      </c>
      <c r="D274" s="270">
        <v>284490</v>
      </c>
      <c r="E274">
        <v>4550</v>
      </c>
      <c r="F274" s="137">
        <v>1.6E-2</v>
      </c>
      <c r="G274" s="203">
        <v>44107</v>
      </c>
      <c r="H274" t="s">
        <v>6850</v>
      </c>
      <c r="I274" s="40" t="s">
        <v>6633</v>
      </c>
      <c r="L274" s="40" t="str">
        <f t="shared" si="5"/>
        <v>USD,20201003,289030,289060,284450,284490,1,1,1</v>
      </c>
    </row>
    <row r="275" spans="1:12">
      <c r="A275" s="270">
        <v>289450</v>
      </c>
      <c r="B275" s="270">
        <v>284950</v>
      </c>
      <c r="C275" s="270">
        <v>289060</v>
      </c>
      <c r="D275" s="270">
        <v>289040</v>
      </c>
      <c r="E275">
        <v>1520</v>
      </c>
      <c r="F275" s="137">
        <v>5.3E-3</v>
      </c>
      <c r="G275" s="203">
        <v>44105</v>
      </c>
      <c r="H275" t="s">
        <v>6852</v>
      </c>
      <c r="I275" s="40" t="s">
        <v>6633</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6853</v>
      </c>
      <c r="I276" s="40" t="s">
        <v>6633</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6854</v>
      </c>
      <c r="I277" s="40" t="s">
        <v>6633</v>
      </c>
      <c r="L277" s="40" t="str">
        <f t="shared" si="5"/>
        <v>USD,20200929,289450,289560,284950,285020,1,1,1</v>
      </c>
    </row>
    <row r="278" spans="1:12">
      <c r="A278" s="270">
        <v>278030</v>
      </c>
      <c r="B278" s="270">
        <v>277950</v>
      </c>
      <c r="C278" s="270">
        <v>289560</v>
      </c>
      <c r="D278" s="270">
        <v>289470</v>
      </c>
      <c r="E278">
        <v>2470</v>
      </c>
      <c r="F278" s="137">
        <v>8.6E-3</v>
      </c>
      <c r="G278" s="203">
        <v>44102</v>
      </c>
      <c r="H278" t="s">
        <v>6855</v>
      </c>
      <c r="I278" s="40" t="s">
        <v>6633</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6856</v>
      </c>
      <c r="I279" s="40" t="s">
        <v>6633</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6857</v>
      </c>
      <c r="I280" s="40" t="s">
        <v>6633</v>
      </c>
      <c r="L280" s="40" t="str">
        <f t="shared" si="5"/>
        <v>USD,20200926,278030,287560,277950,285060,1,1,1</v>
      </c>
    </row>
    <row r="281" spans="1:12">
      <c r="A281" s="270">
        <v>269480</v>
      </c>
      <c r="B281" s="270">
        <v>269450</v>
      </c>
      <c r="C281" s="270">
        <v>278060</v>
      </c>
      <c r="D281" s="270">
        <v>277970</v>
      </c>
      <c r="E281">
        <v>10</v>
      </c>
      <c r="F281" t="s">
        <v>6632</v>
      </c>
      <c r="G281" s="203">
        <v>44098</v>
      </c>
      <c r="H281" t="s">
        <v>6858</v>
      </c>
      <c r="I281" s="40" t="s">
        <v>6633</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6859</v>
      </c>
      <c r="I282" s="40" t="s">
        <v>6633</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6851</v>
      </c>
      <c r="I283" s="40" t="s">
        <v>6633</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6860</v>
      </c>
      <c r="I284" s="40" t="s">
        <v>6633</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6861</v>
      </c>
      <c r="I285" s="40" t="s">
        <v>6633</v>
      </c>
      <c r="L285" s="40" t="str">
        <f t="shared" si="5"/>
        <v>USD,20200920,264500,273060,264450,272980,1,1,1</v>
      </c>
    </row>
    <row r="286" spans="1:12">
      <c r="A286" s="270">
        <v>265980</v>
      </c>
      <c r="B286" s="270">
        <v>265950</v>
      </c>
      <c r="C286" s="270">
        <v>268060</v>
      </c>
      <c r="D286" s="270">
        <v>264480</v>
      </c>
      <c r="E286">
        <v>3490</v>
      </c>
      <c r="F286" s="137">
        <v>1.32E-2</v>
      </c>
      <c r="G286" s="203">
        <v>44093</v>
      </c>
      <c r="H286" t="s">
        <v>6862</v>
      </c>
      <c r="I286" s="40" t="s">
        <v>6633</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6863</v>
      </c>
      <c r="I287" s="40" t="s">
        <v>6633</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6864</v>
      </c>
      <c r="I288" s="40" t="s">
        <v>6633</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6865</v>
      </c>
      <c r="I289" s="40" t="s">
        <v>6633</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6531</v>
      </c>
      <c r="I290" s="40" t="s">
        <v>6633</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6866</v>
      </c>
      <c r="I291" s="40" t="s">
        <v>6633</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6867</v>
      </c>
      <c r="I292" s="40" t="s">
        <v>6633</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6868</v>
      </c>
      <c r="I293" s="40" t="s">
        <v>6633</v>
      </c>
      <c r="L293" s="40" t="str">
        <f t="shared" si="5"/>
        <v>USD,20200910,227910,228020,227910,228000,1,1,1</v>
      </c>
    </row>
    <row r="294" spans="1:12">
      <c r="A294" s="270">
        <v>225950</v>
      </c>
      <c r="B294" s="270">
        <v>225910</v>
      </c>
      <c r="C294" s="270">
        <v>227520</v>
      </c>
      <c r="D294" s="270">
        <v>227490</v>
      </c>
      <c r="E294">
        <v>30</v>
      </c>
      <c r="F294" s="137">
        <v>1E-4</v>
      </c>
      <c r="G294" s="203">
        <v>44083</v>
      </c>
      <c r="H294" t="s">
        <v>6869</v>
      </c>
      <c r="I294" s="40" t="s">
        <v>6633</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6870</v>
      </c>
      <c r="I295" s="40" t="s">
        <v>6633</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6871</v>
      </c>
      <c r="I296" s="40" t="s">
        <v>6633</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6872</v>
      </c>
      <c r="I297" s="40" t="s">
        <v>6633</v>
      </c>
      <c r="L297" s="40" t="str">
        <f t="shared" si="5"/>
        <v>USD,20200906,224450,226020,224410,226020,1,1,1</v>
      </c>
    </row>
    <row r="298" spans="1:12">
      <c r="A298" s="270">
        <v>229020</v>
      </c>
      <c r="B298" s="270">
        <v>226910</v>
      </c>
      <c r="C298" s="270">
        <v>224520</v>
      </c>
      <c r="D298" s="270">
        <v>224520</v>
      </c>
      <c r="E298" t="s">
        <v>6632</v>
      </c>
      <c r="F298" t="s">
        <v>6632</v>
      </c>
      <c r="G298" s="203">
        <v>44079</v>
      </c>
      <c r="H298" t="s">
        <v>6873</v>
      </c>
      <c r="I298" s="40" t="s">
        <v>6633</v>
      </c>
      <c r="L298" s="40" t="str">
        <f t="shared" si="5"/>
        <v>USD,20200905,224450,224520,224410,224520,1,1,1</v>
      </c>
    </row>
    <row r="299" spans="1:12">
      <c r="A299" s="270">
        <v>231430</v>
      </c>
      <c r="B299" s="270">
        <v>228910</v>
      </c>
      <c r="C299" s="270">
        <v>225020</v>
      </c>
      <c r="D299" s="270">
        <v>224520</v>
      </c>
      <c r="E299">
        <v>2440</v>
      </c>
      <c r="F299" s="137">
        <v>1.09E-2</v>
      </c>
      <c r="G299" s="203">
        <v>44077</v>
      </c>
      <c r="H299" t="s">
        <v>6874</v>
      </c>
      <c r="I299" s="40" t="s">
        <v>6633</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6875</v>
      </c>
      <c r="I300" s="40" t="s">
        <v>6633</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6876</v>
      </c>
      <c r="I301" s="40" t="s">
        <v>6633</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6877</v>
      </c>
      <c r="I302" s="40" t="s">
        <v>6633</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6878</v>
      </c>
      <c r="I303" s="40" t="s">
        <v>6633</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6879</v>
      </c>
      <c r="I304" s="40" t="s">
        <v>6633</v>
      </c>
      <c r="L304" s="40" t="str">
        <f t="shared" si="5"/>
        <v>USD,20200827,231020,231020,230910,231020,1,1,1</v>
      </c>
    </row>
    <row r="305" spans="1:12">
      <c r="A305" s="270">
        <v>225020</v>
      </c>
      <c r="B305" s="270">
        <v>224710</v>
      </c>
      <c r="C305" s="270">
        <v>230020</v>
      </c>
      <c r="D305" s="270">
        <v>229960</v>
      </c>
      <c r="E305">
        <v>5170</v>
      </c>
      <c r="F305" s="137">
        <v>2.3E-2</v>
      </c>
      <c r="G305" s="203">
        <v>44069</v>
      </c>
      <c r="H305" t="s">
        <v>6880</v>
      </c>
      <c r="I305" s="40" t="s">
        <v>6633</v>
      </c>
      <c r="L305" s="40" t="str">
        <f t="shared" si="5"/>
        <v>USD,20200826,224710,230020,224710,229960,1,1,1</v>
      </c>
    </row>
    <row r="306" spans="1:12">
      <c r="A306" s="270">
        <v>224940</v>
      </c>
      <c r="B306" s="270">
        <v>224910</v>
      </c>
      <c r="C306" s="270">
        <v>224820</v>
      </c>
      <c r="D306" s="270">
        <v>224790</v>
      </c>
      <c r="E306">
        <v>30</v>
      </c>
      <c r="F306" s="137">
        <v>1E-4</v>
      </c>
      <c r="G306" s="203">
        <v>44068</v>
      </c>
      <c r="H306" t="s">
        <v>6881</v>
      </c>
      <c r="I306" s="40" t="s">
        <v>6633</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6882</v>
      </c>
      <c r="I307" s="40" t="s">
        <v>6633</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6883</v>
      </c>
      <c r="I308" s="40" t="s">
        <v>6633</v>
      </c>
      <c r="L308" s="40" t="str">
        <f t="shared" si="5"/>
        <v>USD,20200823,224940,225020,224910,224970,1,1,1</v>
      </c>
    </row>
    <row r="309" spans="1:12">
      <c r="A309" s="270">
        <v>224960</v>
      </c>
      <c r="B309" s="270">
        <v>223910</v>
      </c>
      <c r="C309" s="270">
        <v>225020</v>
      </c>
      <c r="D309" s="270">
        <v>225020</v>
      </c>
      <c r="E309" t="s">
        <v>6632</v>
      </c>
      <c r="F309" t="s">
        <v>6632</v>
      </c>
      <c r="G309" s="203">
        <v>44065</v>
      </c>
      <c r="H309" t="s">
        <v>6884</v>
      </c>
      <c r="I309" s="40" t="s">
        <v>6633</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6885</v>
      </c>
      <c r="I310" s="40" t="s">
        <v>6633</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6886</v>
      </c>
      <c r="I311" s="40" t="s">
        <v>6633</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6887</v>
      </c>
      <c r="I312" s="40" t="s">
        <v>6633</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6888</v>
      </c>
      <c r="I313" s="40" t="s">
        <v>6633</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6889</v>
      </c>
      <c r="I314" s="40" t="s">
        <v>6633</v>
      </c>
      <c r="L314" s="40" t="str">
        <f t="shared" si="6"/>
        <v>USD,20200816,218970,219020,218910,219020,1,1,1</v>
      </c>
    </row>
    <row r="315" spans="1:12">
      <c r="A315" s="270">
        <v>216800</v>
      </c>
      <c r="B315" s="270">
        <v>216710</v>
      </c>
      <c r="C315" s="270">
        <v>220520</v>
      </c>
      <c r="D315" s="270">
        <v>220520</v>
      </c>
      <c r="E315">
        <v>20</v>
      </c>
      <c r="F315" s="137">
        <v>1E-4</v>
      </c>
      <c r="G315" s="203">
        <v>44058</v>
      </c>
      <c r="H315" t="s">
        <v>6890</v>
      </c>
      <c r="I315" s="40" t="s">
        <v>6633</v>
      </c>
      <c r="L315" s="40" t="str">
        <f t="shared" si="6"/>
        <v>USD,20200815,220520,220520,220410,220520,1,1,1</v>
      </c>
    </row>
    <row r="316" spans="1:12">
      <c r="A316" s="270">
        <v>209930</v>
      </c>
      <c r="B316" s="270">
        <v>209910</v>
      </c>
      <c r="C316" s="270">
        <v>220520</v>
      </c>
      <c r="D316" s="270">
        <v>220500</v>
      </c>
      <c r="E316">
        <v>2480</v>
      </c>
      <c r="F316" s="137">
        <v>1.14E-2</v>
      </c>
      <c r="G316" s="203">
        <v>44056</v>
      </c>
      <c r="H316" t="s">
        <v>6891</v>
      </c>
      <c r="I316" s="40" t="s">
        <v>6633</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6892</v>
      </c>
      <c r="I317" s="40" t="s">
        <v>6633</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6893</v>
      </c>
      <c r="I318" s="40" t="s">
        <v>6633</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6894</v>
      </c>
      <c r="I319" s="40" t="s">
        <v>6633</v>
      </c>
      <c r="L319" s="40" t="str">
        <f t="shared" si="6"/>
        <v>USD,20200810,217960,218020,207910,209910,1,1,1</v>
      </c>
    </row>
    <row r="320" spans="1:12">
      <c r="A320" s="270">
        <v>223020</v>
      </c>
      <c r="B320" s="270">
        <v>222910</v>
      </c>
      <c r="C320" s="270">
        <v>230020</v>
      </c>
      <c r="D320" s="270">
        <v>218020</v>
      </c>
      <c r="E320">
        <v>12000</v>
      </c>
      <c r="F320" s="137">
        <v>5.5E-2</v>
      </c>
      <c r="G320" s="203">
        <v>44052</v>
      </c>
      <c r="H320" t="s">
        <v>6895</v>
      </c>
      <c r="I320" s="40" t="s">
        <v>6633</v>
      </c>
      <c r="L320" s="40" t="str">
        <f t="shared" si="6"/>
        <v>USD,20200809,229980,230020,217910,218020,1,1,1</v>
      </c>
    </row>
    <row r="321" spans="1:12">
      <c r="A321" s="270">
        <v>219020</v>
      </c>
      <c r="B321" s="270">
        <v>218910</v>
      </c>
      <c r="C321" s="270">
        <v>230020</v>
      </c>
      <c r="D321" s="270">
        <v>230020</v>
      </c>
      <c r="E321">
        <v>3000</v>
      </c>
      <c r="F321" s="137">
        <v>1.32E-2</v>
      </c>
      <c r="G321" s="203">
        <v>44049</v>
      </c>
      <c r="H321" t="s">
        <v>6896</v>
      </c>
      <c r="I321" s="40" t="s">
        <v>6633</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6534</v>
      </c>
      <c r="I322" s="40" t="s">
        <v>6633</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6897</v>
      </c>
      <c r="I323" s="40" t="s">
        <v>6633</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6898</v>
      </c>
      <c r="I324" s="40" t="s">
        <v>6633</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6899</v>
      </c>
      <c r="I325" s="40" t="s">
        <v>6633</v>
      </c>
      <c r="L325" s="40" t="str">
        <f t="shared" si="6"/>
        <v>USD,20200802,212940,217020,212910,217020,1,1,1</v>
      </c>
    </row>
    <row r="326" spans="1:12">
      <c r="A326" s="270">
        <v>204930</v>
      </c>
      <c r="B326" s="270">
        <v>204910</v>
      </c>
      <c r="C326" s="270">
        <v>213020</v>
      </c>
      <c r="D326" s="270">
        <v>213020</v>
      </c>
      <c r="E326">
        <v>5000</v>
      </c>
      <c r="F326" s="137">
        <v>2.4E-2</v>
      </c>
      <c r="G326" s="203">
        <v>44044</v>
      </c>
      <c r="H326" t="s">
        <v>6900</v>
      </c>
      <c r="I326" s="40" t="s">
        <v>6633</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6901</v>
      </c>
      <c r="I327" s="40" t="s">
        <v>6633</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6902</v>
      </c>
      <c r="I328" s="40" t="s">
        <v>6633</v>
      </c>
      <c r="L328" s="40" t="str">
        <f t="shared" si="6"/>
        <v>USD,20200729,204930,205020,204910,204990,1,1,1</v>
      </c>
    </row>
    <row r="329" spans="1:12">
      <c r="A329" s="270">
        <v>202940</v>
      </c>
      <c r="B329" s="270">
        <v>202910</v>
      </c>
      <c r="C329" s="270">
        <v>205020</v>
      </c>
      <c r="D329" s="270">
        <v>204920</v>
      </c>
      <c r="E329">
        <v>10</v>
      </c>
      <c r="F329" t="s">
        <v>6632</v>
      </c>
      <c r="G329" s="203">
        <v>44040</v>
      </c>
      <c r="H329" t="s">
        <v>6903</v>
      </c>
      <c r="I329" s="40" t="s">
        <v>6633</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6904</v>
      </c>
      <c r="I330" s="40" t="s">
        <v>6633</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6905</v>
      </c>
      <c r="I331" s="40" t="s">
        <v>6633</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6906</v>
      </c>
      <c r="I332" s="40" t="s">
        <v>6633</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6907</v>
      </c>
      <c r="I333" s="40" t="s">
        <v>6633</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6908</v>
      </c>
      <c r="I334" s="40" t="s">
        <v>6633</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6909</v>
      </c>
      <c r="I335" s="40" t="s">
        <v>6633</v>
      </c>
      <c r="L335" s="40" t="str">
        <f t="shared" si="6"/>
        <v>USD,20200721,225920,226020,204410,204520,1,1,1</v>
      </c>
    </row>
    <row r="336" spans="1:12" ht="15.75" thickBot="1">
      <c r="A336" s="453">
        <v>283180</v>
      </c>
      <c r="B336" s="454">
        <v>283100</v>
      </c>
      <c r="C336" s="454">
        <v>284480</v>
      </c>
      <c r="D336" s="454">
        <v>284240</v>
      </c>
      <c r="E336" s="455">
        <v>580</v>
      </c>
      <c r="F336" s="456">
        <v>2E-3</v>
      </c>
      <c r="G336" s="457">
        <v>44511</v>
      </c>
      <c r="H336" s="458" t="s">
        <v>7031</v>
      </c>
      <c r="I336" s="40" t="s">
        <v>6633</v>
      </c>
      <c r="L336" s="40" t="str">
        <f t="shared" si="6"/>
        <v>USD,20211111,279840,284480,279700,284240,1,1,1</v>
      </c>
    </row>
    <row r="337" spans="1:12" ht="15.75" thickBot="1">
      <c r="A337" s="441">
        <v>281760</v>
      </c>
      <c r="B337" s="442">
        <v>281400</v>
      </c>
      <c r="C337" s="442">
        <v>283880</v>
      </c>
      <c r="D337" s="442">
        <v>283660</v>
      </c>
      <c r="E337" s="443">
        <v>2600</v>
      </c>
      <c r="F337" s="444">
        <v>9.2999999999999992E-3</v>
      </c>
      <c r="G337" s="445">
        <v>44510</v>
      </c>
      <c r="H337" s="446" t="s">
        <v>7032</v>
      </c>
      <c r="I337" s="40" t="s">
        <v>6633</v>
      </c>
      <c r="L337" s="40" t="str">
        <f t="shared" si="6"/>
        <v>USD,20211110,278010,283880,277200,283660,1,1,1</v>
      </c>
    </row>
    <row r="338" spans="1:12" ht="15.75" thickBot="1">
      <c r="A338" s="447">
        <v>280230</v>
      </c>
      <c r="B338" s="448">
        <v>280200</v>
      </c>
      <c r="C338" s="448">
        <v>281780</v>
      </c>
      <c r="D338" s="448">
        <v>281060</v>
      </c>
      <c r="E338" s="449">
        <v>820</v>
      </c>
      <c r="F338" s="450">
        <v>2.8999999999999998E-3</v>
      </c>
      <c r="G338" s="451">
        <v>44509</v>
      </c>
      <c r="H338" s="452" t="s">
        <v>7033</v>
      </c>
      <c r="I338" s="40" t="s">
        <v>6633</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88"/>
  <sheetViews>
    <sheetView topLeftCell="G72" zoomScale="85" zoomScaleNormal="85" workbookViewId="0">
      <selection activeCell="K100" sqref="K10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4991</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6"/>
      <c r="L19" s="115"/>
      <c r="M19" s="206"/>
      <c r="N19" s="111"/>
      <c r="O19" s="472"/>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6"/>
      <c r="L20" s="115"/>
      <c r="M20" s="206" t="s">
        <v>7083</v>
      </c>
      <c r="N20" s="111">
        <v>7907</v>
      </c>
      <c r="O20" s="97"/>
      <c r="P20" s="93"/>
      <c r="Q20" s="67">
        <f t="shared" ref="Q20:Q28" si="6">N26*100/$S$190</f>
        <v>2.5176872409787677E-6</v>
      </c>
      <c r="R20" s="167">
        <v>9268987</v>
      </c>
      <c r="S20" s="166" t="s">
        <v>4149</v>
      </c>
      <c r="T20" s="189">
        <f>T112</f>
        <v>1200</v>
      </c>
      <c r="U20" s="166" t="s">
        <v>4280</v>
      </c>
      <c r="V20" s="166">
        <v>192.1</v>
      </c>
      <c r="W20" s="166">
        <f t="shared" ref="W20:W51" si="7">V20*(1+$S$108+$R$15*T20/36500)</f>
        <v>371.85718027397263</v>
      </c>
      <c r="X20" s="32">
        <f t="shared" ref="X20:X26" si="8">W20*(1+$X$19/100)</f>
        <v>379.29432387945207</v>
      </c>
      <c r="Y20" s="32">
        <f t="shared" ref="Y20:Y26" si="9">W20*(1+$Y$19/100)</f>
        <v>386.73146748493156</v>
      </c>
      <c r="Z20" s="113">
        <v>48028</v>
      </c>
      <c r="AA20" s="113"/>
      <c r="AI20" s="97">
        <v>1</v>
      </c>
      <c r="AJ20" s="111" t="s">
        <v>1090</v>
      </c>
      <c r="AK20" s="111">
        <v>18000000</v>
      </c>
      <c r="AL20" s="97">
        <v>1</v>
      </c>
      <c r="AM20" s="97">
        <f>AM21+AL20</f>
        <v>1243</v>
      </c>
      <c r="AN20" s="111">
        <f>AK20*AM20</f>
        <v>22374000000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7084</v>
      </c>
      <c r="N21" s="111">
        <f>O21*P21</f>
        <v>507629818</v>
      </c>
      <c r="O21" s="97">
        <v>353011</v>
      </c>
      <c r="P21" s="93">
        <f>P51</f>
        <v>1438</v>
      </c>
      <c r="Q21" s="67">
        <f t="shared" si="6"/>
        <v>0</v>
      </c>
      <c r="R21" s="167">
        <v>1353959</v>
      </c>
      <c r="S21" s="166" t="s">
        <v>4388</v>
      </c>
      <c r="T21" s="195">
        <f>T20-59</f>
        <v>1141</v>
      </c>
      <c r="U21" s="19" t="s">
        <v>4422</v>
      </c>
      <c r="V21" s="166">
        <v>192.2</v>
      </c>
      <c r="W21" s="166">
        <f t="shared" si="7"/>
        <v>363.35173041095891</v>
      </c>
      <c r="X21" s="32">
        <f t="shared" si="8"/>
        <v>370.61876501917811</v>
      </c>
      <c r="Y21" s="32">
        <f t="shared" si="9"/>
        <v>377.88579962739726</v>
      </c>
      <c r="Z21" s="113">
        <v>7012</v>
      </c>
      <c r="AA21" s="113"/>
      <c r="AI21" s="97">
        <v>2</v>
      </c>
      <c r="AJ21" s="111" t="s">
        <v>1092</v>
      </c>
      <c r="AK21" s="111">
        <v>2500000</v>
      </c>
      <c r="AL21" s="97">
        <v>1</v>
      </c>
      <c r="AM21" s="97">
        <f t="shared" ref="AM21:AM63" si="10">AM22+AL21</f>
        <v>1242</v>
      </c>
      <c r="AN21" s="111">
        <f t="shared" ref="AN21:AN120" si="11">AK21*AM21</f>
        <v>3105000000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206" t="s">
        <v>7085</v>
      </c>
      <c r="N22" s="111">
        <f>O22*P22</f>
        <v>12231033.6</v>
      </c>
      <c r="O22" s="97">
        <v>27012</v>
      </c>
      <c r="P22" s="93">
        <f>P54</f>
        <v>452.8</v>
      </c>
      <c r="Q22" s="67">
        <f t="shared" si="6"/>
        <v>33.503854033706709</v>
      </c>
      <c r="R22" s="167">
        <v>1614398</v>
      </c>
      <c r="S22" s="166" t="s">
        <v>4394</v>
      </c>
      <c r="T22" s="166">
        <f>T21-3</f>
        <v>1138</v>
      </c>
      <c r="U22" s="19" t="s">
        <v>5591</v>
      </c>
      <c r="V22" s="166">
        <v>184.6</v>
      </c>
      <c r="W22" s="166">
        <f t="shared" si="7"/>
        <v>348.55919123287669</v>
      </c>
      <c r="X22" s="32">
        <f t="shared" si="8"/>
        <v>355.53037505753423</v>
      </c>
      <c r="Y22" s="32">
        <f t="shared" si="9"/>
        <v>362.50155888219177</v>
      </c>
      <c r="Z22" s="113">
        <v>8705</v>
      </c>
      <c r="AA22" s="113"/>
      <c r="AI22" s="97">
        <v>3</v>
      </c>
      <c r="AJ22" s="111" t="s">
        <v>1101</v>
      </c>
      <c r="AK22" s="111">
        <v>8000000</v>
      </c>
      <c r="AL22" s="97">
        <v>1</v>
      </c>
      <c r="AM22" s="97">
        <f t="shared" si="10"/>
        <v>1241</v>
      </c>
      <c r="AN22" s="111">
        <f t="shared" si="11"/>
        <v>9928000000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166"/>
      <c r="L23" s="115"/>
      <c r="M23" s="166"/>
      <c r="N23" s="111"/>
      <c r="O23" s="112"/>
      <c r="P23" s="94"/>
      <c r="Q23" s="67">
        <f t="shared" si="6"/>
        <v>2.0125093227081505</v>
      </c>
      <c r="R23" s="167">
        <v>133576</v>
      </c>
      <c r="S23" s="166" t="s">
        <v>4459</v>
      </c>
      <c r="T23" s="194">
        <f>T22-22</f>
        <v>1116</v>
      </c>
      <c r="U23" s="166" t="s">
        <v>4460</v>
      </c>
      <c r="V23" s="166">
        <v>166.2</v>
      </c>
      <c r="W23" s="166">
        <f t="shared" si="7"/>
        <v>311.01165369863014</v>
      </c>
      <c r="X23" s="32">
        <f t="shared" si="8"/>
        <v>317.23188677260276</v>
      </c>
      <c r="Y23" s="32">
        <f t="shared" si="9"/>
        <v>323.45211984657539</v>
      </c>
      <c r="Z23" s="120">
        <v>800</v>
      </c>
      <c r="AA23" s="94"/>
      <c r="AI23" s="97">
        <v>4</v>
      </c>
      <c r="AJ23" s="111" t="s">
        <v>4036</v>
      </c>
      <c r="AK23" s="111">
        <v>-79552</v>
      </c>
      <c r="AL23" s="97">
        <v>1</v>
      </c>
      <c r="AM23" s="97">
        <f t="shared" si="10"/>
        <v>1240</v>
      </c>
      <c r="AN23" s="111">
        <f t="shared" si="11"/>
        <v>-98644480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2"/>
        <v>280306345.38193864</v>
      </c>
      <c r="F24" s="3">
        <f>L68</f>
        <v>29183239.874549866</v>
      </c>
      <c r="G24" s="93">
        <f t="shared" si="0"/>
        <v>251123105.50738877</v>
      </c>
      <c r="H24" s="11"/>
      <c r="I24" s="94"/>
      <c r="J24" s="94"/>
      <c r="K24" s="206"/>
      <c r="L24" s="115"/>
      <c r="M24" s="206"/>
      <c r="N24" s="111"/>
      <c r="O24" s="112"/>
      <c r="P24" s="472"/>
      <c r="Q24" s="67">
        <f t="shared" si="6"/>
        <v>0</v>
      </c>
      <c r="R24" s="167">
        <v>220803</v>
      </c>
      <c r="S24" s="166" t="s">
        <v>4204</v>
      </c>
      <c r="T24" s="194">
        <f>T23-1</f>
        <v>1115</v>
      </c>
      <c r="U24" s="166" t="s">
        <v>4466</v>
      </c>
      <c r="V24" s="166">
        <v>166</v>
      </c>
      <c r="W24" s="166">
        <f t="shared" si="7"/>
        <v>310.5100493150685</v>
      </c>
      <c r="X24" s="32">
        <f t="shared" si="8"/>
        <v>316.7202503013699</v>
      </c>
      <c r="Y24" s="32">
        <f t="shared" si="9"/>
        <v>322.93045128767125</v>
      </c>
      <c r="Z24" s="120">
        <v>1326</v>
      </c>
      <c r="AA24" s="94"/>
      <c r="AI24" s="97">
        <v>5</v>
      </c>
      <c r="AJ24" s="111" t="s">
        <v>1113</v>
      </c>
      <c r="AK24" s="111">
        <v>165500</v>
      </c>
      <c r="AL24" s="97">
        <v>12</v>
      </c>
      <c r="AM24" s="97">
        <f t="shared" si="10"/>
        <v>1239</v>
      </c>
      <c r="AN24" s="111">
        <f t="shared" si="11"/>
        <v>205054500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2"/>
        <v>286669138.44548404</v>
      </c>
      <c r="F25" s="3"/>
      <c r="G25" s="11"/>
      <c r="H25" s="11"/>
      <c r="J25" s="25"/>
      <c r="K25" s="206"/>
      <c r="L25" s="115"/>
      <c r="M25" s="206"/>
      <c r="N25" s="111"/>
      <c r="O25" s="112"/>
      <c r="P25" s="472"/>
      <c r="Q25" s="67">
        <f t="shared" si="6"/>
        <v>0</v>
      </c>
      <c r="R25" s="167">
        <v>1023940</v>
      </c>
      <c r="S25" s="166" t="s">
        <v>4467</v>
      </c>
      <c r="T25" s="194">
        <f>T24-2</f>
        <v>1113</v>
      </c>
      <c r="U25" s="166" t="s">
        <v>4473</v>
      </c>
      <c r="V25" s="166">
        <v>160.19999999999999</v>
      </c>
      <c r="W25" s="166">
        <f t="shared" si="7"/>
        <v>299.41511671232877</v>
      </c>
      <c r="X25" s="32">
        <f t="shared" si="8"/>
        <v>305.40341904657532</v>
      </c>
      <c r="Y25" s="32">
        <f t="shared" si="9"/>
        <v>311.39172138082193</v>
      </c>
      <c r="Z25" s="120">
        <v>6362</v>
      </c>
      <c r="AA25" s="94" t="s">
        <v>25</v>
      </c>
      <c r="AI25" s="97">
        <v>6</v>
      </c>
      <c r="AJ25" s="111" t="s">
        <v>1138</v>
      </c>
      <c r="AK25" s="111">
        <v>-28830327</v>
      </c>
      <c r="AL25" s="97">
        <v>6</v>
      </c>
      <c r="AM25" s="97">
        <f t="shared" si="10"/>
        <v>1227</v>
      </c>
      <c r="AN25" s="111">
        <f t="shared" si="11"/>
        <v>-35374811229</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2"/>
        <v>293166754.03185946</v>
      </c>
      <c r="F26" s="3"/>
      <c r="G26" s="11"/>
      <c r="H26" s="11"/>
      <c r="J26" s="25" t="s">
        <v>25</v>
      </c>
      <c r="K26" s="166"/>
      <c r="L26" s="115"/>
      <c r="M26" s="166" t="s">
        <v>4413</v>
      </c>
      <c r="N26" s="111">
        <v>275</v>
      </c>
      <c r="O26" s="97" t="s">
        <v>920</v>
      </c>
      <c r="P26" s="97" t="s">
        <v>3911</v>
      </c>
      <c r="Q26" s="67">
        <f t="shared" si="6"/>
        <v>0</v>
      </c>
      <c r="R26" s="167">
        <v>168846</v>
      </c>
      <c r="S26" s="166" t="s">
        <v>3673</v>
      </c>
      <c r="T26" s="194">
        <f>T25-28</f>
        <v>1085</v>
      </c>
      <c r="U26" s="166" t="s">
        <v>4547</v>
      </c>
      <c r="V26" s="166">
        <v>172.2</v>
      </c>
      <c r="W26" s="166">
        <f t="shared" si="7"/>
        <v>318.14445369863012</v>
      </c>
      <c r="X26" s="32">
        <f t="shared" si="8"/>
        <v>324.50734277260273</v>
      </c>
      <c r="Y26" s="32">
        <f t="shared" si="9"/>
        <v>330.87023184657534</v>
      </c>
      <c r="Z26" s="120">
        <v>976</v>
      </c>
      <c r="AA26" s="94"/>
      <c r="AI26" s="97">
        <v>7</v>
      </c>
      <c r="AJ26" s="111" t="s">
        <v>1163</v>
      </c>
      <c r="AK26" s="111">
        <v>18500000</v>
      </c>
      <c r="AL26" s="97">
        <v>1</v>
      </c>
      <c r="AM26" s="97">
        <f t="shared" si="10"/>
        <v>1221</v>
      </c>
      <c r="AN26" s="111">
        <f t="shared" si="11"/>
        <v>22588500000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2"/>
        <v>299801964.25813711</v>
      </c>
      <c r="F27" s="3"/>
      <c r="G27" s="11"/>
      <c r="H27" s="11"/>
      <c r="J27" s="25"/>
      <c r="K27" s="206"/>
      <c r="L27" s="115"/>
      <c r="M27" s="206" t="s">
        <v>6464</v>
      </c>
      <c r="N27" s="111">
        <f t="shared" ref="N27:N32" si="13">O27*P27</f>
        <v>0</v>
      </c>
      <c r="O27" s="97">
        <v>0</v>
      </c>
      <c r="P27" s="183">
        <v>1</v>
      </c>
      <c r="Q27" s="67">
        <f t="shared" si="6"/>
        <v>0</v>
      </c>
      <c r="R27" s="167">
        <v>1563192</v>
      </c>
      <c r="S27" s="206" t="s">
        <v>4640</v>
      </c>
      <c r="T27" s="194">
        <f>T26-33</f>
        <v>1052</v>
      </c>
      <c r="U27" s="206" t="s">
        <v>4641</v>
      </c>
      <c r="V27" s="206">
        <v>168.8</v>
      </c>
      <c r="W27" s="206">
        <f t="shared" si="7"/>
        <v>307.58967232876711</v>
      </c>
      <c r="X27" s="32">
        <f t="shared" ref="X27:X30" si="14">W27*(1+$X$19/100)</f>
        <v>313.74146577534248</v>
      </c>
      <c r="Y27" s="32">
        <f t="shared" ref="Y27:Y30" si="15">W27*(1+$Y$19/100)</f>
        <v>319.89325922191779</v>
      </c>
      <c r="Z27" s="120">
        <v>9222</v>
      </c>
      <c r="AA27" s="94"/>
      <c r="AI27" s="97">
        <v>8</v>
      </c>
      <c r="AJ27" s="111" t="s">
        <v>1172</v>
      </c>
      <c r="AK27" s="111">
        <v>-18550000</v>
      </c>
      <c r="AL27" s="97">
        <v>1</v>
      </c>
      <c r="AM27" s="97">
        <f t="shared" si="10"/>
        <v>1220</v>
      </c>
      <c r="AN27" s="111">
        <f t="shared" si="11"/>
        <v>-22631000000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2"/>
        <v>306577597.44039667</v>
      </c>
      <c r="F28" s="3"/>
      <c r="G28" s="11"/>
      <c r="H28" s="11"/>
      <c r="K28" s="206"/>
      <c r="L28" s="115"/>
      <c r="M28" s="166" t="s">
        <v>4272</v>
      </c>
      <c r="N28" s="111">
        <f t="shared" si="13"/>
        <v>3659533126</v>
      </c>
      <c r="O28" s="97">
        <v>2544877</v>
      </c>
      <c r="P28" s="183">
        <f>P51</f>
        <v>1438</v>
      </c>
      <c r="Q28" s="67">
        <f t="shared" si="6"/>
        <v>1.5472332499105882E-6</v>
      </c>
      <c r="R28" s="167">
        <v>1204691</v>
      </c>
      <c r="S28" s="206" t="s">
        <v>4844</v>
      </c>
      <c r="T28" s="194">
        <f>T27-76</f>
        <v>976</v>
      </c>
      <c r="U28" s="206" t="s">
        <v>4845</v>
      </c>
      <c r="V28" s="206">
        <v>218.5</v>
      </c>
      <c r="W28" s="206">
        <f t="shared" si="7"/>
        <v>385.41484383561641</v>
      </c>
      <c r="X28" s="32">
        <f t="shared" si="14"/>
        <v>393.12314071232873</v>
      </c>
      <c r="Y28" s="32">
        <f t="shared" si="15"/>
        <v>400.83143758904106</v>
      </c>
      <c r="Z28" s="120">
        <v>5488</v>
      </c>
      <c r="AA28" s="94"/>
      <c r="AI28" s="97">
        <v>9</v>
      </c>
      <c r="AJ28" s="111" t="s">
        <v>1179</v>
      </c>
      <c r="AK28" s="111">
        <v>-64961</v>
      </c>
      <c r="AL28" s="97">
        <v>5</v>
      </c>
      <c r="AM28" s="97">
        <f t="shared" si="10"/>
        <v>1219</v>
      </c>
      <c r="AN28" s="111">
        <f t="shared" si="11"/>
        <v>-79187459</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2"/>
        <v>313496539.22527236</v>
      </c>
      <c r="F29" s="3"/>
      <c r="G29" s="11"/>
      <c r="H29" s="11"/>
      <c r="J29" t="s">
        <v>25</v>
      </c>
      <c r="K29" s="206"/>
      <c r="L29" s="115"/>
      <c r="M29" s="206" t="s">
        <v>5262</v>
      </c>
      <c r="N29" s="111">
        <f t="shared" si="13"/>
        <v>219820816</v>
      </c>
      <c r="O29" s="97">
        <v>485470</v>
      </c>
      <c r="P29" s="183">
        <f>P54</f>
        <v>452.8</v>
      </c>
      <c r="Q29" s="67" t="e">
        <f>#REF!*100/$S$190</f>
        <v>#REF!</v>
      </c>
      <c r="R29" s="167">
        <v>15011877</v>
      </c>
      <c r="S29" s="206" t="s">
        <v>4847</v>
      </c>
      <c r="T29" s="194">
        <f>T28-3</f>
        <v>973</v>
      </c>
      <c r="U29" s="206" t="s">
        <v>4851</v>
      </c>
      <c r="V29" s="206">
        <v>197.1</v>
      </c>
      <c r="W29" s="206">
        <f t="shared" si="7"/>
        <v>347.21351999999996</v>
      </c>
      <c r="X29" s="32">
        <f t="shared" si="14"/>
        <v>354.15779039999995</v>
      </c>
      <c r="Y29" s="32">
        <f t="shared" si="15"/>
        <v>361.10206079999995</v>
      </c>
      <c r="Z29" s="120">
        <v>75812</v>
      </c>
      <c r="AA29" s="94"/>
      <c r="AI29" s="97">
        <v>10</v>
      </c>
      <c r="AJ29" s="111" t="s">
        <v>1195</v>
      </c>
      <c r="AK29" s="111">
        <v>6400000</v>
      </c>
      <c r="AL29" s="97">
        <v>1</v>
      </c>
      <c r="AM29" s="97">
        <f t="shared" si="10"/>
        <v>1214</v>
      </c>
      <c r="AN29" s="111">
        <f t="shared" si="11"/>
        <v>7769600000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2"/>
        <v>320561733.74420619</v>
      </c>
      <c r="F30" s="3"/>
      <c r="G30" s="11"/>
      <c r="H30" s="11"/>
      <c r="J30" s="25"/>
      <c r="K30" s="206"/>
      <c r="L30" s="115"/>
      <c r="M30" s="206" t="s">
        <v>4653</v>
      </c>
      <c r="N30" s="111">
        <f t="shared" si="13"/>
        <v>0</v>
      </c>
      <c r="O30" s="97">
        <v>0</v>
      </c>
      <c r="P30" s="183">
        <f>P55</f>
        <v>764</v>
      </c>
      <c r="Q30" s="67">
        <f>N35*100/$S$190</f>
        <v>0.34323384429988824</v>
      </c>
      <c r="R30" s="167">
        <v>7046042.5001907032</v>
      </c>
      <c r="S30" s="206" t="s">
        <v>4858</v>
      </c>
      <c r="T30" s="194">
        <f>T29-5</f>
        <v>968</v>
      </c>
      <c r="U30" s="206" t="s">
        <v>5557</v>
      </c>
      <c r="V30" s="206">
        <v>194.4</v>
      </c>
      <c r="W30" s="206">
        <f t="shared" si="7"/>
        <v>341.71152657534253</v>
      </c>
      <c r="X30" s="32">
        <f t="shared" si="14"/>
        <v>348.54575710684941</v>
      </c>
      <c r="Y30" s="32">
        <f t="shared" si="15"/>
        <v>355.37998763835623</v>
      </c>
      <c r="Z30" s="120">
        <v>36073</v>
      </c>
      <c r="AA30" s="94"/>
      <c r="AI30" s="97">
        <v>11</v>
      </c>
      <c r="AJ30" s="111" t="s">
        <v>4037</v>
      </c>
      <c r="AK30" s="111">
        <v>-170000</v>
      </c>
      <c r="AL30" s="97">
        <v>5</v>
      </c>
      <c r="AM30" s="97">
        <f t="shared" si="10"/>
        <v>1213</v>
      </c>
      <c r="AN30" s="111">
        <f t="shared" si="11"/>
        <v>-206210000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2"/>
        <v>327776184.79086304</v>
      </c>
      <c r="F31" s="3"/>
      <c r="G31" s="11"/>
      <c r="H31" s="11"/>
      <c r="J31" s="25"/>
      <c r="K31" s="206"/>
      <c r="L31" s="115"/>
      <c r="M31" s="206" t="s">
        <v>4354</v>
      </c>
      <c r="N31" s="111">
        <f t="shared" si="13"/>
        <v>0</v>
      </c>
      <c r="O31" s="97">
        <v>0</v>
      </c>
      <c r="P31" s="183">
        <f>P49</f>
        <v>19100</v>
      </c>
      <c r="Q31" s="67" t="e">
        <f>#REF!*100/$S$190</f>
        <v>#REF!</v>
      </c>
      <c r="R31" s="167">
        <v>5368238</v>
      </c>
      <c r="S31" s="206" t="s">
        <v>5563</v>
      </c>
      <c r="T31" s="194">
        <f>T30-465</f>
        <v>503</v>
      </c>
      <c r="U31" s="206" t="s">
        <v>5564</v>
      </c>
      <c r="V31" s="206">
        <v>1843</v>
      </c>
      <c r="W31" s="206">
        <f t="shared" si="7"/>
        <v>2582.1591342465754</v>
      </c>
      <c r="X31" s="32">
        <f t="shared" ref="X31:X34" si="16">W31*(1+$X$19/100)</f>
        <v>2633.802316931507</v>
      </c>
      <c r="Y31" s="32">
        <f t="shared" ref="Y31:Y34" si="17">W31*(1+$Y$19/100)</f>
        <v>2685.4454996164386</v>
      </c>
      <c r="Z31">
        <v>2902</v>
      </c>
      <c r="AB31" s="94"/>
      <c r="AI31" s="97">
        <v>12</v>
      </c>
      <c r="AJ31" s="111" t="s">
        <v>1215</v>
      </c>
      <c r="AK31" s="111">
        <v>-6300000</v>
      </c>
      <c r="AL31" s="97">
        <v>1</v>
      </c>
      <c r="AM31" s="97">
        <f>AM32+AL31</f>
        <v>1208</v>
      </c>
      <c r="AN31" s="111">
        <f t="shared" si="11"/>
        <v>-7610400000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2"/>
        <v>335142957.02217078</v>
      </c>
      <c r="F32" s="3"/>
      <c r="G32" s="11"/>
      <c r="H32" s="11"/>
      <c r="J32" s="53"/>
      <c r="K32" s="206"/>
      <c r="L32" s="115"/>
      <c r="M32" s="206" t="s">
        <v>5816</v>
      </c>
      <c r="N32" s="111">
        <f t="shared" si="13"/>
        <v>0</v>
      </c>
      <c r="O32" s="97">
        <v>0</v>
      </c>
      <c r="P32" s="183">
        <f>P53</f>
        <v>8463</v>
      </c>
      <c r="Q32" s="67" t="e">
        <f>#REF!*100/$S$190</f>
        <v>#REF!</v>
      </c>
      <c r="R32" s="167">
        <v>40195775</v>
      </c>
      <c r="S32" s="206" t="s">
        <v>5565</v>
      </c>
      <c r="T32" s="194">
        <f>T31-3</f>
        <v>500</v>
      </c>
      <c r="U32" s="206" t="s">
        <v>5566</v>
      </c>
      <c r="V32" s="206">
        <v>1751</v>
      </c>
      <c r="W32" s="206">
        <f t="shared" si="7"/>
        <v>2449.2316383561647</v>
      </c>
      <c r="X32" s="32">
        <f t="shared" si="16"/>
        <v>2498.2162711232882</v>
      </c>
      <c r="Y32" s="32">
        <f t="shared" si="17"/>
        <v>2547.2009038904112</v>
      </c>
      <c r="Z32">
        <v>22871</v>
      </c>
      <c r="AI32" s="97">
        <v>13</v>
      </c>
      <c r="AJ32" s="111" t="s">
        <v>1224</v>
      </c>
      <c r="AK32" s="111">
        <v>-52015</v>
      </c>
      <c r="AL32" s="97">
        <v>16</v>
      </c>
      <c r="AM32" s="97">
        <f t="shared" si="10"/>
        <v>1207</v>
      </c>
      <c r="AN32" s="111">
        <f t="shared" si="11"/>
        <v>-62782105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2"/>
        <v>342665177.18345958</v>
      </c>
      <c r="F33" s="3"/>
      <c r="G33" s="11"/>
      <c r="H33" s="11"/>
      <c r="J33" s="25"/>
      <c r="K33" s="206" t="s">
        <v>6919</v>
      </c>
      <c r="L33" s="115">
        <f>-'فروردین 98'!D176</f>
        <v>3846463</v>
      </c>
      <c r="M33" s="166"/>
      <c r="N33" s="111"/>
      <c r="O33" s="67"/>
      <c r="P33" s="97"/>
      <c r="Q33" s="67">
        <f>N36*100/$S$190</f>
        <v>4.0808876633716435</v>
      </c>
      <c r="R33" s="167">
        <v>16176504</v>
      </c>
      <c r="S33" s="206" t="s">
        <v>5567</v>
      </c>
      <c r="T33" s="194">
        <f>T32-1</f>
        <v>499</v>
      </c>
      <c r="U33" s="206" t="s">
        <v>5568</v>
      </c>
      <c r="V33" s="206">
        <v>1730</v>
      </c>
      <c r="W33" s="206">
        <f t="shared" si="7"/>
        <v>2418.5305205479453</v>
      </c>
      <c r="X33" s="32">
        <f t="shared" si="16"/>
        <v>2466.9011309589041</v>
      </c>
      <c r="Y33" s="32">
        <f t="shared" si="17"/>
        <v>2515.2717413698633</v>
      </c>
      <c r="Z33">
        <v>9316</v>
      </c>
      <c r="AA33" t="s">
        <v>25</v>
      </c>
      <c r="AB33" s="94"/>
      <c r="AI33" s="97">
        <v>14</v>
      </c>
      <c r="AJ33" s="111" t="s">
        <v>3690</v>
      </c>
      <c r="AK33" s="111">
        <v>20017400</v>
      </c>
      <c r="AL33" s="97">
        <v>0</v>
      </c>
      <c r="AM33" s="97">
        <f t="shared" si="10"/>
        <v>1191</v>
      </c>
      <c r="AN33" s="111">
        <f t="shared" si="11"/>
        <v>23840723400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2"/>
        <v>350346035.35818261</v>
      </c>
      <c r="F34" s="3"/>
      <c r="G34" s="11"/>
      <c r="H34" s="11"/>
      <c r="K34" s="206" t="s">
        <v>4420</v>
      </c>
      <c r="L34" s="115">
        <f>-X168</f>
        <v>49330404.874549866</v>
      </c>
      <c r="M34" s="187" t="s">
        <v>4415</v>
      </c>
      <c r="N34" s="111">
        <v>169</v>
      </c>
      <c r="O34" s="253"/>
      <c r="P34" s="97" t="s">
        <v>25</v>
      </c>
      <c r="Q34" s="67"/>
      <c r="R34" s="167">
        <v>47880291</v>
      </c>
      <c r="S34" s="206" t="s">
        <v>5574</v>
      </c>
      <c r="T34" s="194">
        <f>T33-8</f>
        <v>491</v>
      </c>
      <c r="U34" s="206" t="s">
        <v>5578</v>
      </c>
      <c r="V34" s="206">
        <v>1737.1</v>
      </c>
      <c r="W34" s="206">
        <f t="shared" si="7"/>
        <v>2417.795722739726</v>
      </c>
      <c r="X34" s="32">
        <f t="shared" si="16"/>
        <v>2466.1516371945204</v>
      </c>
      <c r="Y34" s="32">
        <f t="shared" si="17"/>
        <v>2514.5075516493152</v>
      </c>
      <c r="Z34">
        <v>27461</v>
      </c>
      <c r="AB34" s="94"/>
      <c r="AI34" s="97">
        <v>15</v>
      </c>
      <c r="AJ34" s="111" t="s">
        <v>3690</v>
      </c>
      <c r="AK34" s="111">
        <v>1014466</v>
      </c>
      <c r="AL34" s="97">
        <v>12</v>
      </c>
      <c r="AM34" s="97">
        <f t="shared" si="10"/>
        <v>1191</v>
      </c>
      <c r="AN34" s="111">
        <f t="shared" si="11"/>
        <v>1208229006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2"/>
        <v>358188786.24271059</v>
      </c>
      <c r="F35" s="3"/>
      <c r="G35" s="11"/>
      <c r="H35" s="11"/>
      <c r="K35" s="206"/>
      <c r="L35" s="115"/>
      <c r="M35" s="187" t="s">
        <v>5262</v>
      </c>
      <c r="N35" s="111">
        <f>O35*P35</f>
        <v>37490481.600000001</v>
      </c>
      <c r="O35" s="67">
        <v>82797</v>
      </c>
      <c r="P35" s="97">
        <f>P54</f>
        <v>452.8</v>
      </c>
      <c r="Q35" s="67"/>
      <c r="R35" s="167">
        <v>48859908</v>
      </c>
      <c r="S35" s="206" t="s">
        <v>5577</v>
      </c>
      <c r="T35" s="194">
        <f>T34-1</f>
        <v>490</v>
      </c>
      <c r="U35" s="206" t="s">
        <v>5581</v>
      </c>
      <c r="V35" s="206">
        <v>1730.1</v>
      </c>
      <c r="W35" s="206">
        <f t="shared" si="7"/>
        <v>2406.72552</v>
      </c>
      <c r="X35" s="32">
        <f t="shared" ref="X35:X36" si="18">W35*(1+$X$19/100)</f>
        <v>2454.8600304000001</v>
      </c>
      <c r="Y35" s="32">
        <f t="shared" ref="Y35:Y36" si="19">W35*(1+$Y$19/100)</f>
        <v>2502.9945407999999</v>
      </c>
      <c r="Z35">
        <v>28136</v>
      </c>
      <c r="AA35" t="s">
        <v>25</v>
      </c>
      <c r="AB35" s="94" t="s">
        <v>25</v>
      </c>
      <c r="AI35" s="97">
        <v>16</v>
      </c>
      <c r="AJ35" s="111" t="s">
        <v>1126</v>
      </c>
      <c r="AK35" s="111">
        <v>360000</v>
      </c>
      <c r="AL35" s="97">
        <v>2</v>
      </c>
      <c r="AM35" s="97">
        <f t="shared" si="10"/>
        <v>1179</v>
      </c>
      <c r="AN35" s="111">
        <f t="shared" si="11"/>
        <v>424440000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2"/>
        <v>366196750.44670284</v>
      </c>
      <c r="F36" s="3"/>
      <c r="G36" s="11"/>
      <c r="H36" s="11"/>
      <c r="J36" t="s">
        <v>25</v>
      </c>
      <c r="K36" s="206" t="s">
        <v>902</v>
      </c>
      <c r="L36" s="115">
        <v>4800000</v>
      </c>
      <c r="M36" s="187" t="s">
        <v>4395</v>
      </c>
      <c r="N36" s="111">
        <f>O36*P36</f>
        <v>445744050</v>
      </c>
      <c r="O36" s="67">
        <v>309975</v>
      </c>
      <c r="P36" s="97">
        <f>P51</f>
        <v>1438</v>
      </c>
      <c r="Q36" s="67"/>
      <c r="R36" s="167">
        <v>38191823</v>
      </c>
      <c r="S36" s="206" t="s">
        <v>5579</v>
      </c>
      <c r="T36" s="194">
        <f>T35-1</f>
        <v>489</v>
      </c>
      <c r="U36" s="206" t="s">
        <v>5580</v>
      </c>
      <c r="V36" s="206">
        <v>1646</v>
      </c>
      <c r="W36" s="206">
        <f t="shared" si="7"/>
        <v>2288.4721315068496</v>
      </c>
      <c r="X36" s="32">
        <f t="shared" si="18"/>
        <v>2334.2415741369864</v>
      </c>
      <c r="Y36" s="32">
        <f t="shared" si="19"/>
        <v>2380.0110167671237</v>
      </c>
      <c r="Z36">
        <v>23117</v>
      </c>
      <c r="AB36" s="94"/>
      <c r="AI36" s="97">
        <v>17</v>
      </c>
      <c r="AJ36" s="111" t="s">
        <v>3750</v>
      </c>
      <c r="AK36" s="111">
        <v>-350000</v>
      </c>
      <c r="AL36" s="97">
        <v>0</v>
      </c>
      <c r="AM36" s="97">
        <f t="shared" si="10"/>
        <v>1177</v>
      </c>
      <c r="AN36" s="111">
        <f t="shared" si="11"/>
        <v>-411950000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2"/>
        <v>374373315.81956631</v>
      </c>
      <c r="F37" s="3"/>
      <c r="G37" s="11"/>
      <c r="H37" s="11"/>
      <c r="J37" s="112"/>
      <c r="K37" s="206"/>
      <c r="L37" s="115"/>
      <c r="M37" s="166"/>
      <c r="N37" s="111"/>
      <c r="P37" t="s">
        <v>25</v>
      </c>
      <c r="Q37" s="67"/>
      <c r="R37" s="167">
        <v>70173463</v>
      </c>
      <c r="S37" s="206" t="s">
        <v>5582</v>
      </c>
      <c r="T37" s="194">
        <f>T36-3</f>
        <v>486</v>
      </c>
      <c r="U37" s="206" t="s">
        <v>5586</v>
      </c>
      <c r="V37" s="206">
        <v>1674.7</v>
      </c>
      <c r="W37" s="206">
        <f t="shared" si="7"/>
        <v>2324.520305753425</v>
      </c>
      <c r="X37" s="32">
        <f t="shared" ref="X37:X40" si="20">W37*(1+$X$19/100)</f>
        <v>2371.0107118684937</v>
      </c>
      <c r="Y37" s="32">
        <f t="shared" ref="Y37:Y40" si="21">W37*(1+$Y$19/100)</f>
        <v>2417.5011179835619</v>
      </c>
      <c r="Z37">
        <v>41747</v>
      </c>
      <c r="AA37" t="s">
        <v>25</v>
      </c>
      <c r="AB37" s="94"/>
      <c r="AI37" s="97">
        <v>18</v>
      </c>
      <c r="AJ37" s="111" t="s">
        <v>3750</v>
      </c>
      <c r="AK37" s="111">
        <v>1000</v>
      </c>
      <c r="AL37" s="97">
        <v>1</v>
      </c>
      <c r="AM37" s="97">
        <f t="shared" si="10"/>
        <v>1177</v>
      </c>
      <c r="AN37" s="111">
        <f t="shared" si="11"/>
        <v>1177000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2"/>
        <v>382721938.80352634</v>
      </c>
      <c r="F38" s="3"/>
      <c r="G38" s="11"/>
      <c r="H38" s="11"/>
      <c r="J38" s="112"/>
      <c r="K38" s="206"/>
      <c r="L38" s="115"/>
      <c r="M38" s="166" t="s">
        <v>747</v>
      </c>
      <c r="N38" s="111">
        <v>3000000</v>
      </c>
      <c r="P38" t="s">
        <v>25</v>
      </c>
      <c r="Q38" s="67"/>
      <c r="R38" s="167">
        <v>23283294</v>
      </c>
      <c r="S38" s="206" t="s">
        <v>5584</v>
      </c>
      <c r="T38" s="194">
        <f>T37-2</f>
        <v>484</v>
      </c>
      <c r="U38" s="206" t="s">
        <v>5585</v>
      </c>
      <c r="V38" s="206">
        <v>1663</v>
      </c>
      <c r="W38" s="206">
        <f t="shared" si="7"/>
        <v>2305.7289972602744</v>
      </c>
      <c r="X38" s="32">
        <f t="shared" si="20"/>
        <v>2351.84357720548</v>
      </c>
      <c r="Y38" s="32">
        <f t="shared" si="21"/>
        <v>2397.9581571506856</v>
      </c>
      <c r="Z38">
        <v>13949</v>
      </c>
      <c r="AA38" t="s">
        <v>25</v>
      </c>
      <c r="AB38" s="94"/>
      <c r="AI38" s="97">
        <v>19</v>
      </c>
      <c r="AJ38" s="111" t="s">
        <v>3754</v>
      </c>
      <c r="AK38" s="111">
        <v>33610000</v>
      </c>
      <c r="AL38" s="97">
        <v>4</v>
      </c>
      <c r="AM38" s="97">
        <f t="shared" si="10"/>
        <v>1176</v>
      </c>
      <c r="AN38" s="111">
        <f t="shared" si="11"/>
        <v>39525360000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2"/>
        <v>391246145.81384128</v>
      </c>
      <c r="F39" s="3"/>
      <c r="G39" s="11"/>
      <c r="H39" s="11"/>
      <c r="J39" s="112"/>
      <c r="K39" s="206" t="s">
        <v>6620</v>
      </c>
      <c r="L39" s="115">
        <v>-34500000</v>
      </c>
      <c r="M39" s="166"/>
      <c r="N39" s="111"/>
      <c r="P39" t="s">
        <v>25</v>
      </c>
      <c r="Q39" s="67"/>
      <c r="R39" s="167">
        <v>1611237.824</v>
      </c>
      <c r="S39" s="206" t="s">
        <v>5587</v>
      </c>
      <c r="T39" s="194">
        <f>T38-1</f>
        <v>483</v>
      </c>
      <c r="U39" s="206" t="s">
        <v>5592</v>
      </c>
      <c r="V39" s="206">
        <v>1580</v>
      </c>
      <c r="W39" s="206">
        <f t="shared" si="7"/>
        <v>2189.4384657534251</v>
      </c>
      <c r="X39" s="32">
        <f t="shared" si="20"/>
        <v>2233.2272350684939</v>
      </c>
      <c r="Y39" s="32">
        <f t="shared" si="21"/>
        <v>2277.0160043835622</v>
      </c>
      <c r="Z39">
        <v>1016</v>
      </c>
      <c r="AB39" s="94" t="s">
        <v>25</v>
      </c>
      <c r="AC39" s="94"/>
      <c r="AD39" s="94"/>
      <c r="AE39" s="94"/>
      <c r="AI39" s="97">
        <v>20</v>
      </c>
      <c r="AJ39" s="111" t="s">
        <v>4038</v>
      </c>
      <c r="AK39" s="111">
        <v>-15600000</v>
      </c>
      <c r="AL39" s="97">
        <v>3</v>
      </c>
      <c r="AM39" s="97">
        <f t="shared" si="10"/>
        <v>1172</v>
      </c>
      <c r="AN39" s="111">
        <f t="shared" si="11"/>
        <v>-18283200000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2"/>
        <v>399949534.64670491</v>
      </c>
      <c r="F40" s="3"/>
      <c r="G40" s="11"/>
      <c r="H40" s="11"/>
      <c r="J40" s="112"/>
      <c r="K40" s="206"/>
      <c r="L40" s="206"/>
      <c r="M40" s="166"/>
      <c r="N40" s="111"/>
      <c r="O40" s="112">
        <f>O28+10295</f>
        <v>2555172</v>
      </c>
      <c r="P40" t="s">
        <v>25</v>
      </c>
      <c r="Q40" s="67"/>
      <c r="R40" s="167">
        <v>563902380</v>
      </c>
      <c r="S40" s="206" t="s">
        <v>5594</v>
      </c>
      <c r="T40" s="194">
        <f>T39-5</f>
        <v>478</v>
      </c>
      <c r="U40" s="206" t="s">
        <v>5596</v>
      </c>
      <c r="V40" s="206">
        <v>1560.1</v>
      </c>
      <c r="W40" s="206">
        <f t="shared" si="7"/>
        <v>2155.8786816438355</v>
      </c>
      <c r="X40" s="32">
        <f t="shared" si="20"/>
        <v>2198.9962552767124</v>
      </c>
      <c r="Y40" s="32">
        <f t="shared" si="21"/>
        <v>2242.1138289095888</v>
      </c>
      <c r="Z40">
        <v>360127</v>
      </c>
      <c r="AA40" s="113"/>
      <c r="AC40" s="94"/>
      <c r="AD40" s="94"/>
      <c r="AE40" s="94"/>
      <c r="AI40" s="97">
        <v>21</v>
      </c>
      <c r="AJ40" s="111" t="s">
        <v>3768</v>
      </c>
      <c r="AK40" s="111">
        <v>7500000</v>
      </c>
      <c r="AL40" s="97">
        <v>4</v>
      </c>
      <c r="AM40" s="97">
        <f t="shared" si="10"/>
        <v>1169</v>
      </c>
      <c r="AN40" s="111">
        <f t="shared" si="11"/>
        <v>8767500000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2"/>
        <v>408835775.91539168</v>
      </c>
      <c r="F41" s="3"/>
      <c r="G41" s="11"/>
      <c r="H41" s="11"/>
      <c r="J41" s="112"/>
      <c r="K41" s="206"/>
      <c r="L41" s="206"/>
      <c r="M41" s="166" t="s">
        <v>751</v>
      </c>
      <c r="N41" s="111">
        <v>1200000</v>
      </c>
      <c r="O41" s="112">
        <f>O29-31680</f>
        <v>453790</v>
      </c>
      <c r="P41" t="s">
        <v>25</v>
      </c>
      <c r="Q41" s="67"/>
      <c r="R41" s="167">
        <v>814638349</v>
      </c>
      <c r="S41" s="206" t="s">
        <v>5601</v>
      </c>
      <c r="T41" s="194">
        <f>T40-8</f>
        <v>470</v>
      </c>
      <c r="U41" s="206" t="s">
        <v>5602</v>
      </c>
      <c r="V41" s="206">
        <v>1667</v>
      </c>
      <c r="W41" s="206">
        <f t="shared" si="7"/>
        <v>2293.3718246575345</v>
      </c>
      <c r="X41" s="32">
        <f t="shared" ref="X41:X42" si="22">W41*(1+$X$19/100)</f>
        <v>2339.2392611506853</v>
      </c>
      <c r="Y41" s="32">
        <f t="shared" ref="Y41:Y42" si="23">W41*(1+$Y$19/100)</f>
        <v>2385.106697643836</v>
      </c>
      <c r="Z41">
        <v>486878</v>
      </c>
      <c r="AA41" s="113"/>
      <c r="AC41" s="94"/>
      <c r="AD41" s="94"/>
      <c r="AE41" s="94"/>
      <c r="AI41" s="97">
        <v>22</v>
      </c>
      <c r="AJ41" s="111" t="s">
        <v>4039</v>
      </c>
      <c r="AK41" s="111">
        <v>-98000</v>
      </c>
      <c r="AL41" s="97">
        <v>1</v>
      </c>
      <c r="AM41" s="97">
        <f t="shared" si="10"/>
        <v>1165</v>
      </c>
      <c r="AN41" s="111">
        <f t="shared" si="11"/>
        <v>-114170000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2"/>
        <v>417908614.51520973</v>
      </c>
      <c r="F42" s="3"/>
      <c r="G42" s="11"/>
      <c r="H42" s="11"/>
      <c r="J42" s="112"/>
      <c r="K42" s="206"/>
      <c r="L42" s="115"/>
      <c r="M42" s="71"/>
      <c r="N42" s="111"/>
      <c r="O42" s="112"/>
      <c r="P42" t="s">
        <v>25</v>
      </c>
      <c r="Q42" s="67"/>
      <c r="R42" s="167">
        <v>2537951</v>
      </c>
      <c r="S42" s="206" t="s">
        <v>5616</v>
      </c>
      <c r="T42" s="194">
        <f>T41-5</f>
        <v>465</v>
      </c>
      <c r="U42" s="206" t="s">
        <v>5617</v>
      </c>
      <c r="V42" s="206">
        <v>1768.2</v>
      </c>
      <c r="W42" s="206">
        <f t="shared" si="7"/>
        <v>2425.8153797260275</v>
      </c>
      <c r="X42" s="32">
        <f t="shared" si="22"/>
        <v>2474.3316873205481</v>
      </c>
      <c r="Y42" s="32">
        <f t="shared" si="23"/>
        <v>2522.8479949150687</v>
      </c>
      <c r="Z42">
        <v>1430</v>
      </c>
      <c r="AA42" s="113"/>
      <c r="AC42" s="113"/>
      <c r="AD42" s="113"/>
      <c r="AE42" s="113"/>
      <c r="AF42" s="113"/>
      <c r="AG42" s="113"/>
      <c r="AI42" s="97">
        <v>23</v>
      </c>
      <c r="AJ42" s="111" t="s">
        <v>4033</v>
      </c>
      <c r="AK42" s="111">
        <v>-26000000</v>
      </c>
      <c r="AL42" s="97">
        <v>0</v>
      </c>
      <c r="AM42" s="97">
        <f t="shared" si="10"/>
        <v>1164</v>
      </c>
      <c r="AN42" s="111">
        <f t="shared" si="11"/>
        <v>-30264000000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2"/>
        <v>427171871.11783922</v>
      </c>
      <c r="F43" s="3"/>
      <c r="G43" s="11"/>
      <c r="H43" s="11"/>
      <c r="J43" s="112"/>
      <c r="K43" s="206"/>
      <c r="L43" s="115"/>
      <c r="M43" s="166"/>
      <c r="N43" s="111"/>
      <c r="P43" t="s">
        <v>25</v>
      </c>
      <c r="Q43" s="67"/>
      <c r="R43" s="167">
        <v>67414766</v>
      </c>
      <c r="S43" s="206" t="s">
        <v>5625</v>
      </c>
      <c r="T43" s="194">
        <f>T42-3</f>
        <v>462</v>
      </c>
      <c r="U43" s="206" t="s">
        <v>5632</v>
      </c>
      <c r="V43" s="206">
        <v>1582.3</v>
      </c>
      <c r="W43" s="206">
        <f t="shared" si="7"/>
        <v>2167.1354202739726</v>
      </c>
      <c r="X43" s="32">
        <f t="shared" ref="X43:X44" si="24">W43*(1+$X$19/100)</f>
        <v>2210.4781286794523</v>
      </c>
      <c r="Y43" s="32">
        <f t="shared" ref="Y43:Y44" si="25">W43*(1+$Y$19/100)</f>
        <v>2253.8208370849316</v>
      </c>
      <c r="Z43" s="94">
        <v>42448</v>
      </c>
      <c r="AA43" s="120"/>
      <c r="AC43" s="113"/>
      <c r="AD43" s="113"/>
      <c r="AE43" s="113"/>
      <c r="AF43" s="113"/>
      <c r="AG43" s="113"/>
      <c r="AI43" s="97">
        <v>24</v>
      </c>
      <c r="AJ43" s="111" t="s">
        <v>4033</v>
      </c>
      <c r="AK43" s="111">
        <v>25000000</v>
      </c>
      <c r="AL43" s="97">
        <v>1</v>
      </c>
      <c r="AM43" s="97">
        <f t="shared" si="10"/>
        <v>1164</v>
      </c>
      <c r="AN43" s="111">
        <f t="shared" si="11"/>
        <v>29100000000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2"/>
        <v>436629443.69564456</v>
      </c>
      <c r="F44" s="3"/>
      <c r="G44" s="11"/>
      <c r="H44" s="11"/>
      <c r="K44" s="206" t="s">
        <v>6619</v>
      </c>
      <c r="L44" s="115">
        <v>-45000000</v>
      </c>
      <c r="M44" s="166" t="s">
        <v>6622</v>
      </c>
      <c r="N44" s="111">
        <v>-14000000</v>
      </c>
      <c r="O44" t="s">
        <v>25</v>
      </c>
      <c r="P44" t="s">
        <v>25</v>
      </c>
      <c r="Q44" s="67">
        <f t="shared" ref="Q44:Q54" si="26">N47*100/$S$190</f>
        <v>5.6762403251157678E-7</v>
      </c>
      <c r="R44" s="167">
        <v>23400057</v>
      </c>
      <c r="S44" s="206" t="s">
        <v>5629</v>
      </c>
      <c r="T44" s="194">
        <f>T43-1</f>
        <v>461</v>
      </c>
      <c r="U44" s="206" t="s">
        <v>5633</v>
      </c>
      <c r="V44" s="206">
        <v>1610.6</v>
      </c>
      <c r="W44" s="206">
        <f t="shared" si="7"/>
        <v>2204.6598816438359</v>
      </c>
      <c r="X44" s="32">
        <f t="shared" si="24"/>
        <v>2248.7530792767125</v>
      </c>
      <c r="Y44" s="32">
        <f t="shared" si="25"/>
        <v>2292.8462769095895</v>
      </c>
      <c r="Z44" s="94">
        <v>14475</v>
      </c>
      <c r="AA44" s="120" t="s">
        <v>25</v>
      </c>
      <c r="AC44" s="113"/>
      <c r="AD44" s="113"/>
      <c r="AE44" s="113" t="s">
        <v>25</v>
      </c>
      <c r="AF44" s="113"/>
      <c r="AG44" s="113"/>
      <c r="AI44" s="97">
        <v>25</v>
      </c>
      <c r="AJ44" s="111" t="s">
        <v>4034</v>
      </c>
      <c r="AK44" s="111">
        <v>110000</v>
      </c>
      <c r="AL44" s="97">
        <v>1</v>
      </c>
      <c r="AM44" s="97">
        <f t="shared" si="10"/>
        <v>1163</v>
      </c>
      <c r="AN44" s="111">
        <f t="shared" si="11"/>
        <v>127930000</v>
      </c>
      <c r="AO44" s="97"/>
      <c r="AR44" s="94"/>
      <c r="AS44" s="94"/>
      <c r="AT44" s="94"/>
      <c r="AW44" s="94"/>
    </row>
    <row r="45" spans="1:55">
      <c r="A45" s="60">
        <v>99</v>
      </c>
      <c r="B45" s="11">
        <v>43</v>
      </c>
      <c r="C45" s="48">
        <f t="shared" si="4"/>
        <v>4919648.5409651063</v>
      </c>
      <c r="D45" s="3">
        <f t="shared" si="5"/>
        <v>3996372.0339620672</v>
      </c>
      <c r="E45" s="3">
        <f t="shared" si="12"/>
        <v>446285309.07656044</v>
      </c>
      <c r="F45" s="3"/>
      <c r="G45" s="11"/>
      <c r="H45" s="11"/>
      <c r="J45" s="112"/>
      <c r="K45" s="206"/>
      <c r="L45" s="115"/>
      <c r="M45" s="166" t="s">
        <v>6623</v>
      </c>
      <c r="N45" s="111">
        <v>-34200000</v>
      </c>
      <c r="O45" s="275"/>
      <c r="P45" s="94" t="s">
        <v>25</v>
      </c>
      <c r="Q45" s="67">
        <f t="shared" si="26"/>
        <v>0</v>
      </c>
      <c r="R45" s="167"/>
      <c r="S45" s="206" t="s">
        <v>5635</v>
      </c>
      <c r="T45" s="194">
        <f>T44-4</f>
        <v>457</v>
      </c>
      <c r="U45" s="206" t="s">
        <v>5636</v>
      </c>
      <c r="V45" s="206">
        <v>1582</v>
      </c>
      <c r="W45" s="206">
        <f t="shared" si="7"/>
        <v>2160.6565917808221</v>
      </c>
      <c r="X45" s="32">
        <f t="shared" ref="X45:X46" si="27">W45*(1+$X$19/100)</f>
        <v>2203.8697236164385</v>
      </c>
      <c r="Y45" s="32">
        <f t="shared" ref="Y45:Y46" si="28">W45*(1+$Y$19/100)</f>
        <v>2247.0828554520549</v>
      </c>
      <c r="Z45" s="94">
        <v>71983</v>
      </c>
      <c r="AA45" s="120"/>
      <c r="AB45" s="94"/>
      <c r="AC45" s="113"/>
      <c r="AD45" s="113" t="s">
        <v>25</v>
      </c>
      <c r="AE45" s="113" t="s">
        <v>25</v>
      </c>
      <c r="AF45" s="113"/>
      <c r="AG45" s="113" t="s">
        <v>25</v>
      </c>
      <c r="AI45" s="97">
        <v>26</v>
      </c>
      <c r="AJ45" s="111" t="s">
        <v>3783</v>
      </c>
      <c r="AK45" s="111">
        <v>380000</v>
      </c>
      <c r="AL45" s="97">
        <v>7</v>
      </c>
      <c r="AM45" s="97">
        <f t="shared" si="10"/>
        <v>1162</v>
      </c>
      <c r="AN45" s="111">
        <f t="shared" si="11"/>
        <v>441560000</v>
      </c>
      <c r="AO45" s="97"/>
      <c r="AR45" s="94"/>
      <c r="AS45" s="94"/>
      <c r="AT45" s="94"/>
      <c r="AW45" s="94"/>
    </row>
    <row r="46" spans="1:55">
      <c r="A46" s="60">
        <v>99</v>
      </c>
      <c r="B46" s="11">
        <v>44</v>
      </c>
      <c r="C46" s="48">
        <f t="shared" si="4"/>
        <v>4968845.0263747573</v>
      </c>
      <c r="D46" s="3">
        <f t="shared" si="5"/>
        <v>4036335.7543016877</v>
      </c>
      <c r="E46" s="3">
        <f t="shared" si="12"/>
        <v>456143524.53016472</v>
      </c>
      <c r="F46" s="3"/>
      <c r="G46" s="11"/>
      <c r="H46" s="11"/>
      <c r="I46" s="94"/>
      <c r="J46" s="112"/>
      <c r="K46" s="206"/>
      <c r="L46" s="115"/>
      <c r="M46" s="166"/>
      <c r="N46" s="111"/>
      <c r="O46" s="112"/>
      <c r="P46" s="94"/>
      <c r="Q46" s="67">
        <f t="shared" si="26"/>
        <v>0</v>
      </c>
      <c r="R46" s="167"/>
      <c r="S46" s="206" t="s">
        <v>5637</v>
      </c>
      <c r="T46" s="194">
        <f>T45-1</f>
        <v>456</v>
      </c>
      <c r="U46" s="206" t="s">
        <v>5638</v>
      </c>
      <c r="V46" s="206">
        <v>1530</v>
      </c>
      <c r="W46" s="206">
        <f t="shared" si="7"/>
        <v>2088.4625753424662</v>
      </c>
      <c r="X46" s="32">
        <f t="shared" si="27"/>
        <v>2130.2318268493154</v>
      </c>
      <c r="Y46" s="32">
        <f t="shared" si="28"/>
        <v>2172.0010783561647</v>
      </c>
      <c r="Z46" s="94">
        <v>2971</v>
      </c>
      <c r="AA46" s="120"/>
      <c r="AB46" s="94"/>
      <c r="AC46" s="113"/>
      <c r="AD46" s="113"/>
      <c r="AE46" s="113"/>
      <c r="AF46" s="113"/>
      <c r="AG46" s="113"/>
      <c r="AI46" s="97">
        <v>27</v>
      </c>
      <c r="AJ46" s="111" t="s">
        <v>3869</v>
      </c>
      <c r="AK46" s="111">
        <v>450000</v>
      </c>
      <c r="AL46" s="97">
        <v>6</v>
      </c>
      <c r="AM46" s="97">
        <f t="shared" si="10"/>
        <v>1155</v>
      </c>
      <c r="AN46" s="111">
        <f t="shared" si="11"/>
        <v>519750000</v>
      </c>
      <c r="AO46" s="97"/>
      <c r="AR46" s="94"/>
      <c r="AS46" s="94"/>
      <c r="AT46" s="94"/>
      <c r="AW46" s="94"/>
    </row>
    <row r="47" spans="1:55">
      <c r="A47" s="60">
        <v>99</v>
      </c>
      <c r="B47" s="11">
        <v>45</v>
      </c>
      <c r="C47" s="48">
        <f t="shared" si="4"/>
        <v>5018533.4766385052</v>
      </c>
      <c r="D47" s="3">
        <f t="shared" si="5"/>
        <v>4076699.1118447045</v>
      </c>
      <c r="E47" s="3">
        <f t="shared" si="12"/>
        <v>466208229.38556182</v>
      </c>
      <c r="F47" s="3"/>
      <c r="G47" s="11"/>
      <c r="H47" s="11"/>
      <c r="J47" s="112"/>
      <c r="K47" s="206" t="s">
        <v>6604</v>
      </c>
      <c r="L47" s="115">
        <v>20000000</v>
      </c>
      <c r="M47" s="166" t="s">
        <v>4414</v>
      </c>
      <c r="N47" s="326">
        <v>62</v>
      </c>
      <c r="O47" s="112"/>
      <c r="P47" t="s">
        <v>25</v>
      </c>
      <c r="Q47" s="67">
        <f t="shared" si="26"/>
        <v>0</v>
      </c>
      <c r="R47" s="167"/>
      <c r="S47" s="206" t="s">
        <v>5640</v>
      </c>
      <c r="T47" s="194">
        <f>T46-2</f>
        <v>454</v>
      </c>
      <c r="U47" s="206" t="s">
        <v>5641</v>
      </c>
      <c r="V47" s="206"/>
      <c r="W47" s="206">
        <f t="shared" si="7"/>
        <v>0</v>
      </c>
      <c r="X47" s="32">
        <f t="shared" ref="X47:X55" si="29">W47*(1+$X$19/100)</f>
        <v>0</v>
      </c>
      <c r="Y47" s="32">
        <f t="shared" ref="Y47:Y55" si="30">W47*(1+$Y$19/100)</f>
        <v>0</v>
      </c>
      <c r="Z47" s="94">
        <v>32899</v>
      </c>
      <c r="AA47" s="120"/>
      <c r="AB47" s="94"/>
      <c r="AC47" s="113"/>
      <c r="AD47" s="113"/>
      <c r="AE47" s="113" t="s">
        <v>25</v>
      </c>
      <c r="AF47" s="113"/>
      <c r="AG47" s="113"/>
      <c r="AI47" s="97">
        <v>28</v>
      </c>
      <c r="AJ47" s="111" t="s">
        <v>3893</v>
      </c>
      <c r="AK47" s="111">
        <v>2800000</v>
      </c>
      <c r="AL47" s="97">
        <v>1</v>
      </c>
      <c r="AM47" s="97">
        <f t="shared" si="10"/>
        <v>1149</v>
      </c>
      <c r="AN47" s="111">
        <f t="shared" si="11"/>
        <v>3217200000</v>
      </c>
      <c r="AO47" s="97"/>
      <c r="AR47" s="94"/>
      <c r="AS47" s="94"/>
      <c r="AT47" s="94"/>
    </row>
    <row r="48" spans="1:55">
      <c r="A48" s="62">
        <v>99</v>
      </c>
      <c r="B48" s="62">
        <v>46</v>
      </c>
      <c r="C48" s="63">
        <f t="shared" si="4"/>
        <v>5068718.8114048904</v>
      </c>
      <c r="D48" s="63">
        <f t="shared" si="5"/>
        <v>4117466.1029631514</v>
      </c>
      <c r="E48" s="63">
        <f t="shared" si="12"/>
        <v>476483646.68171477</v>
      </c>
      <c r="F48" s="3"/>
      <c r="G48" s="11"/>
      <c r="H48" s="11" t="s">
        <v>605</v>
      </c>
      <c r="J48" s="112"/>
      <c r="K48" s="242" t="s">
        <v>7082</v>
      </c>
      <c r="L48" s="115">
        <v>25000000</v>
      </c>
      <c r="M48" s="166" t="s">
        <v>6464</v>
      </c>
      <c r="N48" s="111">
        <f>O48*P48</f>
        <v>0</v>
      </c>
      <c r="O48" s="97">
        <v>0</v>
      </c>
      <c r="P48" s="97">
        <v>1</v>
      </c>
      <c r="Q48" s="67">
        <f t="shared" si="26"/>
        <v>41.123025005112105</v>
      </c>
      <c r="R48" s="167"/>
      <c r="S48" s="206" t="s">
        <v>5656</v>
      </c>
      <c r="T48" s="194">
        <f>T47-19</f>
        <v>435</v>
      </c>
      <c r="U48" s="206" t="s">
        <v>5657</v>
      </c>
      <c r="V48" s="206">
        <v>1160</v>
      </c>
      <c r="W48" s="206">
        <f t="shared" si="7"/>
        <v>1564.7224109589042</v>
      </c>
      <c r="X48" s="32">
        <f t="shared" si="29"/>
        <v>1596.0168591780823</v>
      </c>
      <c r="Y48" s="32">
        <f t="shared" si="30"/>
        <v>1627.3113073972604</v>
      </c>
      <c r="Z48" s="94">
        <v>53136</v>
      </c>
      <c r="AA48" s="120"/>
      <c r="AB48" s="94"/>
      <c r="AC48" s="113" t="s">
        <v>25</v>
      </c>
      <c r="AD48" s="113"/>
      <c r="AE48" s="113"/>
      <c r="AF48" s="113"/>
      <c r="AG48" s="113"/>
      <c r="AI48" s="97">
        <v>29</v>
      </c>
      <c r="AJ48" s="111" t="s">
        <v>3894</v>
      </c>
      <c r="AK48" s="111">
        <v>-1500000</v>
      </c>
      <c r="AL48" s="97">
        <v>0</v>
      </c>
      <c r="AM48" s="97">
        <f t="shared" si="10"/>
        <v>1148</v>
      </c>
      <c r="AN48" s="111">
        <f t="shared" si="11"/>
        <v>-1722000000</v>
      </c>
      <c r="AO48" s="97"/>
      <c r="AR48" s="94"/>
      <c r="AS48" s="94"/>
      <c r="AT48" s="94"/>
    </row>
    <row r="49" spans="1:46">
      <c r="A49" s="60">
        <v>99</v>
      </c>
      <c r="B49" s="11">
        <v>47</v>
      </c>
      <c r="C49" s="3">
        <f t="shared" si="4"/>
        <v>5119405.9995189393</v>
      </c>
      <c r="D49" s="3">
        <f t="shared" si="5"/>
        <v>4158640.7639927831</v>
      </c>
      <c r="E49" s="3">
        <f t="shared" si="12"/>
        <v>486974084.8508752</v>
      </c>
      <c r="F49" s="3"/>
      <c r="G49" s="11"/>
      <c r="H49" s="11"/>
      <c r="J49" s="112"/>
      <c r="K49" s="206"/>
      <c r="L49" s="115"/>
      <c r="M49" s="19" t="s">
        <v>4354</v>
      </c>
      <c r="N49" s="115">
        <f t="shared" ref="N49:N57" si="31">O49*P49</f>
        <v>0</v>
      </c>
      <c r="O49" s="67">
        <v>0</v>
      </c>
      <c r="P49" s="67">
        <v>19100</v>
      </c>
      <c r="Q49" s="67">
        <f t="shared" si="26"/>
        <v>0</v>
      </c>
      <c r="R49" s="167"/>
      <c r="S49" s="206" t="s">
        <v>5658</v>
      </c>
      <c r="T49" s="194">
        <f>T48-1</f>
        <v>434</v>
      </c>
      <c r="U49" s="206" t="s">
        <v>5659</v>
      </c>
      <c r="V49" s="206"/>
      <c r="W49" s="206">
        <f t="shared" si="7"/>
        <v>0</v>
      </c>
      <c r="X49" s="32">
        <f t="shared" si="29"/>
        <v>0</v>
      </c>
      <c r="Y49" s="32">
        <f t="shared" si="30"/>
        <v>0</v>
      </c>
      <c r="Z49" s="94">
        <v>152397</v>
      </c>
      <c r="AA49" s="120"/>
      <c r="AB49" s="94"/>
      <c r="AD49" t="s">
        <v>25</v>
      </c>
      <c r="AE49" t="s">
        <v>25</v>
      </c>
      <c r="AG49" s="113"/>
      <c r="AI49" s="97">
        <v>30</v>
      </c>
      <c r="AJ49" s="111" t="s">
        <v>3894</v>
      </c>
      <c r="AK49" s="111">
        <v>3050000</v>
      </c>
      <c r="AL49" s="97">
        <v>3</v>
      </c>
      <c r="AM49" s="97">
        <f>AM50+AL49</f>
        <v>1148</v>
      </c>
      <c r="AN49" s="111">
        <f t="shared" si="11"/>
        <v>3501400000</v>
      </c>
      <c r="AO49" s="97"/>
      <c r="AR49" s="94"/>
      <c r="AS49" s="94"/>
      <c r="AT49" s="94"/>
    </row>
    <row r="50" spans="1:46">
      <c r="A50" s="60">
        <v>99</v>
      </c>
      <c r="B50" s="11">
        <v>48</v>
      </c>
      <c r="C50" s="49">
        <f t="shared" si="4"/>
        <v>5170600.0595141286</v>
      </c>
      <c r="D50" s="49">
        <f t="shared" si="5"/>
        <v>4200227.1716327108</v>
      </c>
      <c r="E50" s="50">
        <f t="shared" si="12"/>
        <v>497683939.43577409</v>
      </c>
      <c r="F50" s="49"/>
      <c r="G50" s="11"/>
      <c r="H50" s="97"/>
      <c r="I50" s="191"/>
      <c r="J50" s="126"/>
      <c r="K50" s="206"/>
      <c r="L50" s="206"/>
      <c r="M50" s="19" t="s">
        <v>4358</v>
      </c>
      <c r="N50" s="115">
        <f t="shared" si="31"/>
        <v>0</v>
      </c>
      <c r="O50" s="67">
        <v>0</v>
      </c>
      <c r="P50" s="67">
        <v>27800</v>
      </c>
      <c r="Q50" s="67">
        <f t="shared" si="26"/>
        <v>0</v>
      </c>
      <c r="R50" s="167"/>
      <c r="S50" s="206" t="s">
        <v>5660</v>
      </c>
      <c r="T50" s="194">
        <f>T49-1</f>
        <v>433</v>
      </c>
      <c r="U50" s="206" t="s">
        <v>5661</v>
      </c>
      <c r="V50" s="206"/>
      <c r="W50" s="206">
        <f t="shared" si="7"/>
        <v>0</v>
      </c>
      <c r="X50" s="32">
        <f t="shared" si="29"/>
        <v>0</v>
      </c>
      <c r="Y50" s="32">
        <f t="shared" si="30"/>
        <v>0</v>
      </c>
      <c r="Z50" s="94">
        <v>173628</v>
      </c>
      <c r="AA50" s="120"/>
      <c r="AB50" s="94"/>
      <c r="AI50" s="97">
        <v>31</v>
      </c>
      <c r="AJ50" s="111" t="s">
        <v>3918</v>
      </c>
      <c r="AK50" s="111">
        <v>-8299612</v>
      </c>
      <c r="AL50" s="97">
        <v>2</v>
      </c>
      <c r="AM50" s="97">
        <f t="shared" si="10"/>
        <v>1145</v>
      </c>
      <c r="AN50" s="111">
        <f t="shared" si="11"/>
        <v>-9503055740</v>
      </c>
      <c r="AO50" s="97"/>
      <c r="AR50" s="94"/>
      <c r="AS50" s="94"/>
      <c r="AT50" s="94"/>
    </row>
    <row r="51" spans="1:46">
      <c r="A51" s="61">
        <v>1400</v>
      </c>
      <c r="B51" s="11">
        <v>49</v>
      </c>
      <c r="C51" s="44">
        <f t="shared" si="4"/>
        <v>5222306.0601092698</v>
      </c>
      <c r="D51" s="3">
        <f t="shared" si="5"/>
        <v>4242229.4433490383</v>
      </c>
      <c r="E51" s="3">
        <f t="shared" si="12"/>
        <v>508617694.84124976</v>
      </c>
      <c r="F51" s="3"/>
      <c r="G51" s="11"/>
      <c r="H51" s="97"/>
      <c r="I51" s="191"/>
      <c r="J51" s="126"/>
      <c r="K51" s="206"/>
      <c r="L51" s="206"/>
      <c r="M51" s="19" t="s">
        <v>4156</v>
      </c>
      <c r="N51" s="111">
        <f>O51*P51</f>
        <v>4491754056</v>
      </c>
      <c r="O51" s="97">
        <v>3123612</v>
      </c>
      <c r="P51" s="97">
        <v>1438</v>
      </c>
      <c r="Q51" s="67">
        <f t="shared" si="26"/>
        <v>19.200840433839755</v>
      </c>
      <c r="R51" s="167"/>
      <c r="S51" s="206" t="s">
        <v>5662</v>
      </c>
      <c r="T51" s="194">
        <f>T50-3</f>
        <v>430</v>
      </c>
      <c r="U51" s="206" t="s">
        <v>5663</v>
      </c>
      <c r="V51" s="206"/>
      <c r="W51" s="206">
        <f t="shared" si="7"/>
        <v>0</v>
      </c>
      <c r="X51" s="32">
        <f t="shared" si="29"/>
        <v>0</v>
      </c>
      <c r="Y51" s="32">
        <f t="shared" si="30"/>
        <v>0</v>
      </c>
      <c r="Z51" s="94">
        <v>79504</v>
      </c>
      <c r="AA51" s="120"/>
      <c r="AB51" s="94"/>
      <c r="AI51" s="97">
        <v>32</v>
      </c>
      <c r="AJ51" s="111" t="s">
        <v>3913</v>
      </c>
      <c r="AK51" s="111">
        <v>5000000</v>
      </c>
      <c r="AL51" s="97">
        <v>14</v>
      </c>
      <c r="AM51" s="97">
        <f t="shared" si="10"/>
        <v>1143</v>
      </c>
      <c r="AN51" s="111">
        <f t="shared" si="11"/>
        <v>5715000000</v>
      </c>
      <c r="AO51" s="97"/>
      <c r="AR51" s="94"/>
      <c r="AS51" s="94"/>
      <c r="AT51" s="94"/>
    </row>
    <row r="52" spans="1:46">
      <c r="A52" s="61">
        <v>1400</v>
      </c>
      <c r="B52" s="11">
        <v>50</v>
      </c>
      <c r="C52" s="44">
        <f t="shared" si="4"/>
        <v>5274529.1207103627</v>
      </c>
      <c r="D52" s="3">
        <f t="shared" si="5"/>
        <v>4284651.7377825286</v>
      </c>
      <c r="E52" s="3">
        <f t="shared" si="12"/>
        <v>519779926.12100261</v>
      </c>
      <c r="F52" s="3"/>
      <c r="G52" s="11"/>
      <c r="H52" s="97"/>
      <c r="I52" s="191"/>
      <c r="J52" s="126"/>
      <c r="K52" s="206" t="s">
        <v>6605</v>
      </c>
      <c r="L52" s="115">
        <f>-20*P56</f>
        <v>-24440000</v>
      </c>
      <c r="M52" s="19" t="s">
        <v>5846</v>
      </c>
      <c r="N52" s="111">
        <f>O52*P52</f>
        <v>0</v>
      </c>
      <c r="O52" s="97">
        <v>0</v>
      </c>
      <c r="P52" s="97">
        <v>3420</v>
      </c>
      <c r="Q52" s="67">
        <f t="shared" si="26"/>
        <v>0</v>
      </c>
      <c r="R52" s="167"/>
      <c r="S52" s="206" t="s">
        <v>5665</v>
      </c>
      <c r="T52" s="194">
        <f>T51-2</f>
        <v>428</v>
      </c>
      <c r="U52" s="206" t="s">
        <v>5666</v>
      </c>
      <c r="V52" s="206"/>
      <c r="W52" s="206">
        <f t="shared" ref="W52:W73" si="32">V52*(1+$S$108+$R$15*T52/36500)</f>
        <v>0</v>
      </c>
      <c r="X52" s="32">
        <f t="shared" si="29"/>
        <v>0</v>
      </c>
      <c r="Y52" s="32">
        <f t="shared" si="30"/>
        <v>0</v>
      </c>
      <c r="Z52" s="94">
        <v>19196</v>
      </c>
      <c r="AA52" s="120"/>
      <c r="AB52" s="94"/>
      <c r="AI52" s="97">
        <v>33</v>
      </c>
      <c r="AJ52" s="111" t="s">
        <v>973</v>
      </c>
      <c r="AK52" s="111">
        <v>-90000</v>
      </c>
      <c r="AL52" s="97">
        <v>1</v>
      </c>
      <c r="AM52" s="97">
        <f t="shared" si="10"/>
        <v>1129</v>
      </c>
      <c r="AN52" s="111">
        <f t="shared" si="11"/>
        <v>-101610000</v>
      </c>
      <c r="AO52" s="97"/>
      <c r="AR52" s="94"/>
      <c r="AS52" s="94"/>
      <c r="AT52" s="94"/>
    </row>
    <row r="53" spans="1:46">
      <c r="A53" s="61">
        <v>1400</v>
      </c>
      <c r="B53" s="11">
        <v>51</v>
      </c>
      <c r="C53" s="44">
        <f t="shared" si="4"/>
        <v>5327274.4119174667</v>
      </c>
      <c r="D53" s="3">
        <f t="shared" si="5"/>
        <v>4327498.2551603541</v>
      </c>
      <c r="E53" s="3">
        <f t="shared" si="12"/>
        <v>531175300.80017978</v>
      </c>
      <c r="F53" s="3"/>
      <c r="G53" s="11"/>
      <c r="H53" s="97"/>
      <c r="I53" s="191"/>
      <c r="J53" s="126"/>
      <c r="K53" s="206"/>
      <c r="L53" s="115"/>
      <c r="M53" s="19" t="s">
        <v>5816</v>
      </c>
      <c r="N53" s="111">
        <f>O53*P53</f>
        <v>0</v>
      </c>
      <c r="O53" s="97">
        <v>0</v>
      </c>
      <c r="P53" s="97">
        <v>8463</v>
      </c>
      <c r="Q53" s="67">
        <f t="shared" si="26"/>
        <v>0</v>
      </c>
      <c r="R53" s="167" t="s">
        <v>25</v>
      </c>
      <c r="S53" s="206" t="s">
        <v>5668</v>
      </c>
      <c r="T53" s="194">
        <f>T52-7</f>
        <v>421</v>
      </c>
      <c r="U53" s="206" t="s">
        <v>6459</v>
      </c>
      <c r="V53" s="206">
        <v>1100</v>
      </c>
      <c r="W53" s="206">
        <f t="shared" si="32"/>
        <v>1471.9747945205481</v>
      </c>
      <c r="X53" s="32">
        <f t="shared" si="29"/>
        <v>1501.4142904109592</v>
      </c>
      <c r="Y53" s="32">
        <f t="shared" si="30"/>
        <v>1530.8537863013701</v>
      </c>
      <c r="Z53" s="94">
        <v>101322</v>
      </c>
      <c r="AA53" s="120"/>
      <c r="AB53" s="94"/>
      <c r="AI53" s="97">
        <v>34</v>
      </c>
      <c r="AJ53" s="111" t="s">
        <v>4035</v>
      </c>
      <c r="AK53" s="111">
        <v>5600000</v>
      </c>
      <c r="AL53" s="97">
        <v>4</v>
      </c>
      <c r="AM53" s="97">
        <f t="shared" si="10"/>
        <v>1128</v>
      </c>
      <c r="AN53" s="111">
        <f t="shared" si="11"/>
        <v>6316800000</v>
      </c>
      <c r="AO53" s="97"/>
    </row>
    <row r="54" spans="1:46">
      <c r="A54" s="61">
        <v>1400</v>
      </c>
      <c r="B54" s="11">
        <v>52</v>
      </c>
      <c r="C54" s="47">
        <f t="shared" si="4"/>
        <v>5380547.1560366414</v>
      </c>
      <c r="D54" s="3">
        <f t="shared" si="5"/>
        <v>4370773.2377119577</v>
      </c>
      <c r="E54" s="3">
        <f t="shared" si="12"/>
        <v>542808580.73450804</v>
      </c>
      <c r="F54" s="3"/>
      <c r="G54" s="11"/>
      <c r="H54" s="97"/>
      <c r="I54" s="191"/>
      <c r="J54" s="126"/>
      <c r="K54" s="242"/>
      <c r="L54" s="115"/>
      <c r="M54" s="19" t="s">
        <v>5262</v>
      </c>
      <c r="N54" s="111">
        <f t="shared" si="31"/>
        <v>2097254588.8</v>
      </c>
      <c r="O54" s="97">
        <v>4631746</v>
      </c>
      <c r="P54" s="97">
        <v>452.8</v>
      </c>
      <c r="Q54" s="67">
        <f t="shared" si="26"/>
        <v>0</v>
      </c>
      <c r="R54" s="167"/>
      <c r="S54" s="206" t="s">
        <v>963</v>
      </c>
      <c r="T54" s="284">
        <f>T53-20</f>
        <v>401</v>
      </c>
      <c r="U54" s="206" t="s">
        <v>5690</v>
      </c>
      <c r="V54" s="206"/>
      <c r="W54" s="206">
        <f t="shared" si="32"/>
        <v>0</v>
      </c>
      <c r="X54" s="32">
        <f t="shared" si="29"/>
        <v>0</v>
      </c>
      <c r="Y54" s="32">
        <f t="shared" si="30"/>
        <v>0</v>
      </c>
      <c r="Z54" s="94">
        <v>948</v>
      </c>
      <c r="AA54" s="120"/>
      <c r="AB54" s="94"/>
      <c r="AI54" s="97">
        <v>35</v>
      </c>
      <c r="AJ54" s="111" t="s">
        <v>3963</v>
      </c>
      <c r="AK54" s="111">
        <v>750000</v>
      </c>
      <c r="AL54" s="97">
        <v>2</v>
      </c>
      <c r="AM54" s="97">
        <f t="shared" si="10"/>
        <v>1124</v>
      </c>
      <c r="AN54" s="111">
        <f t="shared" si="11"/>
        <v>843000000</v>
      </c>
      <c r="AO54" s="97"/>
    </row>
    <row r="55" spans="1:46">
      <c r="A55" s="61">
        <v>1400</v>
      </c>
      <c r="B55" s="11">
        <v>53</v>
      </c>
      <c r="C55" s="47">
        <f t="shared" si="4"/>
        <v>5434352.6275970079</v>
      </c>
      <c r="D55" s="3">
        <f t="shared" si="5"/>
        <v>4414480.970089077</v>
      </c>
      <c r="E55" s="3">
        <f t="shared" si="12"/>
        <v>554684624.00670612</v>
      </c>
      <c r="F55" s="3"/>
      <c r="G55" s="11"/>
      <c r="H55" s="97"/>
      <c r="I55" s="191"/>
      <c r="J55" s="126"/>
      <c r="K55" s="206"/>
      <c r="L55" s="115"/>
      <c r="M55" s="19" t="s">
        <v>4653</v>
      </c>
      <c r="N55" s="111">
        <f t="shared" si="31"/>
        <v>0</v>
      </c>
      <c r="O55" s="97">
        <v>0</v>
      </c>
      <c r="P55" s="97">
        <v>764</v>
      </c>
      <c r="R55" s="167" t="s">
        <v>25</v>
      </c>
      <c r="S55" s="206" t="s">
        <v>5721</v>
      </c>
      <c r="T55" s="194">
        <f>T54-22</f>
        <v>379</v>
      </c>
      <c r="U55" s="206" t="s">
        <v>6975</v>
      </c>
      <c r="V55" s="206">
        <v>1302</v>
      </c>
      <c r="W55" s="206">
        <f t="shared" si="32"/>
        <v>1700.3335232876711</v>
      </c>
      <c r="X55" s="32">
        <f t="shared" si="29"/>
        <v>1734.3401937534245</v>
      </c>
      <c r="Y55" s="32">
        <f t="shared" si="30"/>
        <v>1768.3468642191781</v>
      </c>
      <c r="Z55">
        <v>88178</v>
      </c>
      <c r="AA55" s="120" t="s">
        <v>25</v>
      </c>
      <c r="AB55" s="94"/>
      <c r="AI55" s="169">
        <v>36</v>
      </c>
      <c r="AJ55" s="168" t="s">
        <v>3973</v>
      </c>
      <c r="AK55" s="168">
        <v>-4242000</v>
      </c>
      <c r="AL55" s="169">
        <v>2</v>
      </c>
      <c r="AM55" s="169">
        <f t="shared" si="10"/>
        <v>1122</v>
      </c>
      <c r="AN55" s="168">
        <f t="shared" si="11"/>
        <v>-4759524000</v>
      </c>
      <c r="AO55" s="169" t="s">
        <v>4044</v>
      </c>
    </row>
    <row r="56" spans="1:46">
      <c r="A56" s="61">
        <v>1400</v>
      </c>
      <c r="B56" s="11">
        <v>54</v>
      </c>
      <c r="C56" s="47">
        <f t="shared" si="4"/>
        <v>5488696.1538729779</v>
      </c>
      <c r="D56" s="3">
        <f t="shared" si="5"/>
        <v>4458625.7797899675</v>
      </c>
      <c r="E56" s="3">
        <f t="shared" si="12"/>
        <v>566808386.86092329</v>
      </c>
      <c r="F56" s="3"/>
      <c r="G56" s="11"/>
      <c r="H56" s="97"/>
      <c r="I56" s="191"/>
      <c r="J56" s="126"/>
      <c r="K56" s="206"/>
      <c r="L56" s="115"/>
      <c r="M56" s="21" t="s">
        <v>1068</v>
      </c>
      <c r="N56" s="115">
        <f t="shared" si="31"/>
        <v>0</v>
      </c>
      <c r="O56" s="67">
        <v>0</v>
      </c>
      <c r="P56" s="67">
        <v>1222000</v>
      </c>
      <c r="R56" s="167"/>
      <c r="S56" s="206" t="s">
        <v>6458</v>
      </c>
      <c r="T56" s="194">
        <f>T55-196</f>
        <v>183</v>
      </c>
      <c r="U56" s="206" t="s">
        <v>6460</v>
      </c>
      <c r="V56" s="206">
        <v>1343</v>
      </c>
      <c r="W56" s="206">
        <f t="shared" si="32"/>
        <v>1551.9487232876713</v>
      </c>
      <c r="X56" s="32">
        <f t="shared" ref="X56:X61" si="33">W56*(1+$X$19/100)</f>
        <v>1582.9876977534248</v>
      </c>
      <c r="Y56" s="32">
        <f t="shared" ref="Y56:Y61" si="34">W56*(1+$Y$19/100)</f>
        <v>1614.0266722191782</v>
      </c>
      <c r="Z56" s="120"/>
      <c r="AA56" s="120">
        <v>11006</v>
      </c>
      <c r="AB56" s="94">
        <f>AA56*3</f>
        <v>33018</v>
      </c>
      <c r="AI56" s="97">
        <v>37</v>
      </c>
      <c r="AJ56" s="111" t="s">
        <v>3973</v>
      </c>
      <c r="AK56" s="111">
        <v>4100000</v>
      </c>
      <c r="AL56" s="97">
        <v>0</v>
      </c>
      <c r="AM56" s="97">
        <f t="shared" si="10"/>
        <v>1120</v>
      </c>
      <c r="AN56" s="111">
        <f t="shared" si="11"/>
        <v>4592000000</v>
      </c>
      <c r="AO56" s="97"/>
    </row>
    <row r="57" spans="1:46">
      <c r="A57" s="61">
        <v>1400</v>
      </c>
      <c r="B57" s="11">
        <v>55</v>
      </c>
      <c r="C57" s="48">
        <f t="shared" si="4"/>
        <v>5543583.1154117081</v>
      </c>
      <c r="D57" s="3">
        <f t="shared" si="5"/>
        <v>4503212.0375878671</v>
      </c>
      <c r="E57" s="3">
        <f t="shared" si="12"/>
        <v>579184925.67596567</v>
      </c>
      <c r="F57" s="3"/>
      <c r="G57" s="11"/>
      <c r="H57" s="97"/>
      <c r="I57" s="191"/>
      <c r="J57" s="126"/>
      <c r="K57" s="206" t="s">
        <v>7039</v>
      </c>
      <c r="L57" s="115">
        <v>-6500000</v>
      </c>
      <c r="M57" s="71" t="s">
        <v>5050</v>
      </c>
      <c r="N57" s="115">
        <f t="shared" si="31"/>
        <v>0</v>
      </c>
      <c r="O57" s="67">
        <v>0</v>
      </c>
      <c r="P57" s="67">
        <v>29100</v>
      </c>
      <c r="Q57" s="113"/>
      <c r="R57" s="167"/>
      <c r="S57" s="206" t="s">
        <v>6461</v>
      </c>
      <c r="T57" s="194">
        <f>T56-1</f>
        <v>182</v>
      </c>
      <c r="U57" s="206" t="s">
        <v>6462</v>
      </c>
      <c r="V57" s="206">
        <v>1350.4</v>
      </c>
      <c r="W57" s="206">
        <f t="shared" si="32"/>
        <v>1559.4641183561646</v>
      </c>
      <c r="X57" s="32">
        <f t="shared" si="33"/>
        <v>1590.6534007232879</v>
      </c>
      <c r="Y57" s="32">
        <f t="shared" si="34"/>
        <v>1621.8426830904111</v>
      </c>
      <c r="Z57" s="120"/>
      <c r="AA57" s="120">
        <v>48370</v>
      </c>
      <c r="AB57" s="464">
        <f t="shared" ref="AB57:AB60" si="35">AA57*3</f>
        <v>145110</v>
      </c>
      <c r="AI57" s="97">
        <v>38</v>
      </c>
      <c r="AJ57" s="111" t="s">
        <v>3979</v>
      </c>
      <c r="AK57" s="111">
        <v>4100000</v>
      </c>
      <c r="AL57" s="97">
        <v>1</v>
      </c>
      <c r="AM57" s="97">
        <f t="shared" si="10"/>
        <v>1120</v>
      </c>
      <c r="AN57" s="111">
        <f t="shared" si="11"/>
        <v>4592000000</v>
      </c>
      <c r="AO57" s="97"/>
    </row>
    <row r="58" spans="1:46" ht="18.75">
      <c r="A58" s="61">
        <v>1400</v>
      </c>
      <c r="B58" s="11">
        <v>56</v>
      </c>
      <c r="C58" s="48">
        <f t="shared" si="4"/>
        <v>5599018.9465658255</v>
      </c>
      <c r="D58" s="3">
        <f t="shared" si="5"/>
        <v>4548244.1579637462</v>
      </c>
      <c r="E58" s="3">
        <f t="shared" si="12"/>
        <v>591819398.97808707</v>
      </c>
      <c r="F58" s="3"/>
      <c r="G58" s="11"/>
      <c r="H58" s="97"/>
      <c r="I58" s="404"/>
      <c r="J58" s="405"/>
      <c r="K58" s="206"/>
      <c r="L58" s="115"/>
      <c r="M58" s="166" t="s">
        <v>1134</v>
      </c>
      <c r="N58" s="115">
        <v>14908</v>
      </c>
      <c r="O58" s="72">
        <v>1</v>
      </c>
      <c r="P58" t="s">
        <v>25</v>
      </c>
      <c r="R58" s="167"/>
      <c r="S58" s="206" t="s">
        <v>6465</v>
      </c>
      <c r="T58" s="194">
        <f>T57-4</f>
        <v>178</v>
      </c>
      <c r="U58" s="206" t="s">
        <v>6466</v>
      </c>
      <c r="V58" s="206">
        <v>1350.3</v>
      </c>
      <c r="W58" s="206">
        <f t="shared" si="32"/>
        <v>1555.205250410959</v>
      </c>
      <c r="X58" s="32">
        <f t="shared" si="33"/>
        <v>1586.3093554191782</v>
      </c>
      <c r="Y58" s="32">
        <f t="shared" si="34"/>
        <v>1617.4134604273975</v>
      </c>
      <c r="Z58" s="120"/>
      <c r="AA58" s="120">
        <v>8875</v>
      </c>
      <c r="AB58" s="464">
        <f t="shared" si="35"/>
        <v>26625</v>
      </c>
      <c r="AI58" s="97">
        <v>39</v>
      </c>
      <c r="AJ58" s="111" t="s">
        <v>3988</v>
      </c>
      <c r="AK58" s="111">
        <v>790000</v>
      </c>
      <c r="AL58" s="97">
        <v>15</v>
      </c>
      <c r="AM58" s="97">
        <f t="shared" si="10"/>
        <v>1119</v>
      </c>
      <c r="AN58" s="111">
        <f t="shared" si="11"/>
        <v>884010000</v>
      </c>
      <c r="AO58" s="97"/>
    </row>
    <row r="59" spans="1:46">
      <c r="A59" s="61">
        <v>1400</v>
      </c>
      <c r="B59" s="11">
        <v>57</v>
      </c>
      <c r="C59" s="48">
        <f t="shared" si="4"/>
        <v>5655009.1360314842</v>
      </c>
      <c r="D59" s="3">
        <f t="shared" si="5"/>
        <v>4593726.5995433833</v>
      </c>
      <c r="E59" s="3">
        <f t="shared" si="12"/>
        <v>604717069.49413705</v>
      </c>
      <c r="F59" s="3"/>
      <c r="G59" s="11"/>
      <c r="H59" s="11"/>
      <c r="J59" s="112"/>
      <c r="K59" s="206"/>
      <c r="L59" s="206"/>
      <c r="M59" s="166" t="s">
        <v>1135</v>
      </c>
      <c r="N59" s="115">
        <v>5282</v>
      </c>
      <c r="O59" s="94"/>
      <c r="P59" t="s">
        <v>25</v>
      </c>
      <c r="R59" s="167"/>
      <c r="S59" s="206" t="s">
        <v>6473</v>
      </c>
      <c r="T59" s="194">
        <f>T58-1</f>
        <v>177</v>
      </c>
      <c r="U59" s="206" t="s">
        <v>6475</v>
      </c>
      <c r="V59" s="206">
        <v>1375.2</v>
      </c>
      <c r="W59" s="206">
        <f t="shared" si="32"/>
        <v>1582.8288263013701</v>
      </c>
      <c r="X59" s="32">
        <f t="shared" si="33"/>
        <v>1614.4854028273976</v>
      </c>
      <c r="Y59" s="32">
        <f t="shared" si="34"/>
        <v>1646.1419793534249</v>
      </c>
      <c r="Z59" s="120"/>
      <c r="AA59" s="120">
        <v>26514</v>
      </c>
      <c r="AB59" s="464">
        <f t="shared" si="35"/>
        <v>79542</v>
      </c>
      <c r="AC59" s="94"/>
      <c r="AD59" s="94"/>
      <c r="AI59" s="169">
        <v>40</v>
      </c>
      <c r="AJ59" s="168" t="s">
        <v>4019</v>
      </c>
      <c r="AK59" s="168">
        <v>-3865000</v>
      </c>
      <c r="AL59" s="169">
        <v>6</v>
      </c>
      <c r="AM59" s="169">
        <f t="shared" si="10"/>
        <v>1104</v>
      </c>
      <c r="AN59" s="170">
        <f t="shared" si="11"/>
        <v>-4266960000</v>
      </c>
      <c r="AO59" s="169" t="s">
        <v>4045</v>
      </c>
    </row>
    <row r="60" spans="1:46">
      <c r="A60" s="61">
        <v>1400</v>
      </c>
      <c r="B60" s="11">
        <v>58</v>
      </c>
      <c r="C60" s="3">
        <f t="shared" si="4"/>
        <v>5711559.227391799</v>
      </c>
      <c r="D60" s="3">
        <f t="shared" si="5"/>
        <v>4639663.8655388169</v>
      </c>
      <c r="E60" s="3">
        <f t="shared" si="12"/>
        <v>617883306.24587286</v>
      </c>
      <c r="F60" s="3"/>
      <c r="G60" s="11"/>
      <c r="H60" s="11"/>
      <c r="K60" s="4"/>
      <c r="L60" s="115" t="s">
        <v>25</v>
      </c>
      <c r="M60" s="166"/>
      <c r="N60" s="111"/>
      <c r="O60" s="113">
        <f>O51+20346</f>
        <v>3143958</v>
      </c>
      <c r="P60" s="113"/>
      <c r="R60" s="167"/>
      <c r="S60" s="206" t="s">
        <v>6478</v>
      </c>
      <c r="T60" s="194">
        <f>T59-1</f>
        <v>176</v>
      </c>
      <c r="U60" s="206" t="s">
        <v>6479</v>
      </c>
      <c r="V60" s="206">
        <v>1406</v>
      </c>
      <c r="W60" s="206">
        <f t="shared" si="32"/>
        <v>1617.2004602739726</v>
      </c>
      <c r="X60" s="32">
        <f t="shared" si="33"/>
        <v>1649.5444694794521</v>
      </c>
      <c r="Y60" s="32">
        <f t="shared" si="34"/>
        <v>1681.8884786849314</v>
      </c>
      <c r="Z60" s="120"/>
      <c r="AA60" s="120">
        <v>19133</v>
      </c>
      <c r="AB60" s="464">
        <f t="shared" si="35"/>
        <v>57399</v>
      </c>
      <c r="AC60" s="94"/>
      <c r="AD60" s="94"/>
      <c r="AI60" s="20">
        <v>41</v>
      </c>
      <c r="AJ60" s="115" t="s">
        <v>4049</v>
      </c>
      <c r="AK60" s="115">
        <v>18800000</v>
      </c>
      <c r="AL60" s="20">
        <v>3</v>
      </c>
      <c r="AM60" s="97">
        <f t="shared" si="10"/>
        <v>1098</v>
      </c>
      <c r="AN60" s="111">
        <f t="shared" si="11"/>
        <v>20642400000</v>
      </c>
      <c r="AO60" s="20"/>
    </row>
    <row r="61" spans="1:46">
      <c r="A61" s="61">
        <v>1400</v>
      </c>
      <c r="B61" s="11">
        <v>59</v>
      </c>
      <c r="C61" s="3">
        <f t="shared" si="4"/>
        <v>5768674.819665717</v>
      </c>
      <c r="D61" s="3">
        <f t="shared" si="5"/>
        <v>4686060.5041942047</v>
      </c>
      <c r="E61" s="3">
        <f t="shared" si="12"/>
        <v>631323586.68626177</v>
      </c>
      <c r="F61" s="3"/>
      <c r="G61" s="11"/>
      <c r="H61" s="11"/>
      <c r="K61" s="206"/>
      <c r="L61" s="115"/>
      <c r="M61" s="166"/>
      <c r="N61" s="111"/>
      <c r="P61" t="s">
        <v>25</v>
      </c>
      <c r="R61" s="167"/>
      <c r="S61" s="206" t="s">
        <v>955</v>
      </c>
      <c r="T61" s="194">
        <f>T112-1085</f>
        <v>115</v>
      </c>
      <c r="U61" s="206" t="s">
        <v>7078</v>
      </c>
      <c r="V61" s="206">
        <v>539</v>
      </c>
      <c r="W61" s="206">
        <f t="shared" si="32"/>
        <v>594.7429369863014</v>
      </c>
      <c r="X61" s="32">
        <f t="shared" si="33"/>
        <v>606.63779572602743</v>
      </c>
      <c r="Y61" s="32">
        <f t="shared" si="34"/>
        <v>618.53265446575347</v>
      </c>
      <c r="Z61" s="120"/>
      <c r="AA61" s="120"/>
      <c r="AB61" s="464">
        <v>3179</v>
      </c>
      <c r="AC61" s="94"/>
      <c r="AD61" s="94"/>
      <c r="AI61" s="20">
        <v>42</v>
      </c>
      <c r="AJ61" s="115" t="s">
        <v>4065</v>
      </c>
      <c r="AK61" s="115">
        <v>500000</v>
      </c>
      <c r="AL61" s="20">
        <v>1</v>
      </c>
      <c r="AM61" s="97">
        <f t="shared" si="10"/>
        <v>1095</v>
      </c>
      <c r="AN61" s="111">
        <f t="shared" si="11"/>
        <v>547500000</v>
      </c>
      <c r="AO61" s="20"/>
    </row>
    <row r="62" spans="1:46">
      <c r="A62" s="61">
        <v>1400</v>
      </c>
      <c r="B62" s="11">
        <v>60</v>
      </c>
      <c r="C62" s="3">
        <f t="shared" si="4"/>
        <v>5826361.5678623738</v>
      </c>
      <c r="D62" s="3">
        <f t="shared" si="5"/>
        <v>4732921.1092361463</v>
      </c>
      <c r="E62" s="46">
        <f t="shared" si="12"/>
        <v>645043498.87861323</v>
      </c>
      <c r="F62" s="3"/>
      <c r="G62" s="11"/>
      <c r="H62" s="11"/>
      <c r="K62" s="206"/>
      <c r="L62" s="206"/>
      <c r="M62" s="166"/>
      <c r="N62" s="111"/>
      <c r="P62" t="s">
        <v>25</v>
      </c>
      <c r="R62" s="167"/>
      <c r="S62" s="206" t="s">
        <v>6977</v>
      </c>
      <c r="T62" s="194">
        <f>T112-1138</f>
        <v>62</v>
      </c>
      <c r="U62" s="206" t="s">
        <v>6978</v>
      </c>
      <c r="V62" s="206">
        <v>1500</v>
      </c>
      <c r="W62" s="206">
        <f t="shared" si="32"/>
        <v>1594.1424657534246</v>
      </c>
      <c r="X62" s="32">
        <f t="shared" ref="X62:X75" si="36">W62*(1+$X$19/100)</f>
        <v>1626.0253150684932</v>
      </c>
      <c r="Y62" s="32">
        <f t="shared" ref="Y62:Y75" si="37">W62*(1+$Y$19/100)</f>
        <v>1657.9081643835616</v>
      </c>
      <c r="Z62" s="120">
        <v>65644</v>
      </c>
      <c r="AA62" s="120"/>
      <c r="AB62" s="433"/>
      <c r="AC62" s="94"/>
      <c r="AD62" s="94"/>
      <c r="AI62" s="20">
        <v>43</v>
      </c>
      <c r="AJ62" s="115" t="s">
        <v>4069</v>
      </c>
      <c r="AK62" s="115">
        <v>200000</v>
      </c>
      <c r="AL62" s="20">
        <v>3</v>
      </c>
      <c r="AM62" s="97">
        <f>AM63+AL62</f>
        <v>1094</v>
      </c>
      <c r="AN62" s="111">
        <f t="shared" si="11"/>
        <v>218800000</v>
      </c>
      <c r="AO62" s="20"/>
    </row>
    <row r="63" spans="1:46">
      <c r="E63" s="26"/>
      <c r="J63" s="112"/>
      <c r="K63" s="206"/>
      <c r="L63" s="115"/>
      <c r="M63" s="166"/>
      <c r="N63" s="111"/>
      <c r="O63">
        <f>O54-66432</f>
        <v>4565314</v>
      </c>
      <c r="P63" t="s">
        <v>25</v>
      </c>
      <c r="R63" s="167"/>
      <c r="S63" s="206" t="s">
        <v>7029</v>
      </c>
      <c r="T63" s="194">
        <f>T112-1144</f>
        <v>56</v>
      </c>
      <c r="U63" s="206" t="s">
        <v>7030</v>
      </c>
      <c r="V63" s="206">
        <v>1590</v>
      </c>
      <c r="W63" s="206">
        <f t="shared" si="32"/>
        <v>1682.4726575342468</v>
      </c>
      <c r="X63" s="32">
        <f t="shared" si="36"/>
        <v>1716.1221106849318</v>
      </c>
      <c r="Y63" s="32">
        <f t="shared" si="37"/>
        <v>1749.7715638356167</v>
      </c>
      <c r="Z63" s="120">
        <v>101</v>
      </c>
      <c r="AA63" s="120"/>
      <c r="AB63" s="440"/>
      <c r="AC63" s="94" t="s">
        <v>25</v>
      </c>
      <c r="AD63" s="94"/>
      <c r="AI63" s="20">
        <v>44</v>
      </c>
      <c r="AJ63" s="115" t="s">
        <v>4076</v>
      </c>
      <c r="AK63" s="115">
        <v>1000000</v>
      </c>
      <c r="AL63" s="20">
        <v>3</v>
      </c>
      <c r="AM63" s="97">
        <f t="shared" si="10"/>
        <v>1091</v>
      </c>
      <c r="AN63" s="111">
        <f t="shared" si="11"/>
        <v>1091000000</v>
      </c>
      <c r="AO63" s="20"/>
    </row>
    <row r="64" spans="1:46">
      <c r="E64" s="26"/>
      <c r="J64" s="112">
        <f>J55+J56</f>
        <v>0</v>
      </c>
      <c r="K64" s="206" t="s">
        <v>5497</v>
      </c>
      <c r="L64" s="115"/>
      <c r="M64" s="166" t="s">
        <v>4401</v>
      </c>
      <c r="N64" s="111">
        <f>-X161</f>
        <v>-122958054.34023723</v>
      </c>
      <c r="P64" t="s">
        <v>25</v>
      </c>
      <c r="R64" s="167"/>
      <c r="S64" s="206" t="s">
        <v>7059</v>
      </c>
      <c r="T64" s="194">
        <f>T112-1164</f>
        <v>36</v>
      </c>
      <c r="U64" s="206" t="s">
        <v>7060</v>
      </c>
      <c r="V64" s="206">
        <v>1420</v>
      </c>
      <c r="W64" s="206">
        <f t="shared" si="32"/>
        <v>1480.7993424657534</v>
      </c>
      <c r="X64" s="32">
        <f t="shared" si="36"/>
        <v>1510.4153293150684</v>
      </c>
      <c r="Y64" s="32">
        <f t="shared" si="37"/>
        <v>1540.0313161643835</v>
      </c>
      <c r="Z64" s="120">
        <v>126426</v>
      </c>
      <c r="AA64" s="120"/>
      <c r="AB64" s="440"/>
      <c r="AC64" s="94" t="s">
        <v>25</v>
      </c>
      <c r="AD64" s="94"/>
      <c r="AI64" s="20">
        <v>45</v>
      </c>
      <c r="AJ64" s="115" t="s">
        <v>4088</v>
      </c>
      <c r="AK64" s="115">
        <v>1300000</v>
      </c>
      <c r="AL64" s="20">
        <v>0</v>
      </c>
      <c r="AM64" s="97">
        <f>AM65+AL64</f>
        <v>1088</v>
      </c>
      <c r="AN64" s="111">
        <f t="shared" si="11"/>
        <v>1414400000</v>
      </c>
      <c r="AO64" s="20"/>
    </row>
    <row r="65" spans="1:41" ht="45">
      <c r="J65" s="112"/>
      <c r="K65" s="242" t="s">
        <v>5519</v>
      </c>
      <c r="L65" s="115">
        <v>-1605910</v>
      </c>
      <c r="M65" s="166"/>
      <c r="N65" s="111"/>
      <c r="O65">
        <f>O55-20742</f>
        <v>-20742</v>
      </c>
      <c r="P65" t="s">
        <v>25</v>
      </c>
      <c r="R65" s="167"/>
      <c r="S65" s="206" t="s">
        <v>7061</v>
      </c>
      <c r="T65" s="194">
        <f>T112-1165</f>
        <v>35</v>
      </c>
      <c r="U65" s="206" t="s">
        <v>7070</v>
      </c>
      <c r="V65" s="206">
        <v>1437</v>
      </c>
      <c r="W65" s="206">
        <f t="shared" si="32"/>
        <v>1497.4248657534249</v>
      </c>
      <c r="X65" s="32">
        <f t="shared" si="36"/>
        <v>1527.3733630684935</v>
      </c>
      <c r="Y65" s="32">
        <f t="shared" si="37"/>
        <v>1557.3218603835619</v>
      </c>
      <c r="Z65" s="120">
        <v>105347</v>
      </c>
      <c r="AA65" s="120"/>
      <c r="AB65" s="440"/>
      <c r="AD65" s="94"/>
      <c r="AI65" s="20">
        <v>45</v>
      </c>
      <c r="AJ65" s="115" t="s">
        <v>4088</v>
      </c>
      <c r="AK65" s="115">
        <v>995000</v>
      </c>
      <c r="AL65" s="20">
        <v>2</v>
      </c>
      <c r="AM65" s="97">
        <f t="shared" ref="AM65:AM92" si="38">AM66+AL65</f>
        <v>1088</v>
      </c>
      <c r="AN65" s="111">
        <f t="shared" si="11"/>
        <v>1082560000</v>
      </c>
      <c r="AO65" s="20"/>
    </row>
    <row r="66" spans="1:41">
      <c r="K66" s="206"/>
      <c r="L66" s="115"/>
      <c r="M66" s="166"/>
      <c r="N66" s="111"/>
      <c r="Q66" s="113"/>
      <c r="R66" s="167"/>
      <c r="S66" s="206" t="s">
        <v>7071</v>
      </c>
      <c r="T66" s="194">
        <f>T112-1179</f>
        <v>21</v>
      </c>
      <c r="U66" s="206" t="s">
        <v>7072</v>
      </c>
      <c r="V66" s="206">
        <v>1423</v>
      </c>
      <c r="W66" s="206">
        <f t="shared" si="32"/>
        <v>1467.5535452054796</v>
      </c>
      <c r="X66" s="32">
        <f t="shared" si="36"/>
        <v>1496.9046161095891</v>
      </c>
      <c r="Y66" s="32">
        <f t="shared" si="37"/>
        <v>1526.2556870136989</v>
      </c>
      <c r="Z66" s="120">
        <v>7440</v>
      </c>
      <c r="AA66" s="120"/>
      <c r="AB66" s="468"/>
      <c r="AD66" s="94"/>
      <c r="AI66" s="20">
        <v>46</v>
      </c>
      <c r="AJ66" s="115" t="s">
        <v>4097</v>
      </c>
      <c r="AK66" s="115">
        <v>13000000</v>
      </c>
      <c r="AL66" s="20">
        <v>2</v>
      </c>
      <c r="AM66" s="97">
        <f t="shared" si="38"/>
        <v>1086</v>
      </c>
      <c r="AN66" s="111">
        <f t="shared" si="11"/>
        <v>14118000000</v>
      </c>
      <c r="AO66" s="20"/>
    </row>
    <row r="67" spans="1:41">
      <c r="A67" t="s">
        <v>25</v>
      </c>
      <c r="F67" t="s">
        <v>310</v>
      </c>
      <c r="G67" s="9" t="s">
        <v>4080</v>
      </c>
      <c r="K67" s="206"/>
      <c r="L67" s="115"/>
      <c r="M67" s="166"/>
      <c r="N67" s="111">
        <f>SUM(N16:N66)</f>
        <v>11304705266.659763</v>
      </c>
      <c r="P67" t="s">
        <v>25</v>
      </c>
      <c r="Q67" s="120"/>
      <c r="R67" s="167"/>
      <c r="S67" s="206" t="s">
        <v>7073</v>
      </c>
      <c r="T67" s="194">
        <f>T112-1183</f>
        <v>17</v>
      </c>
      <c r="U67" s="206" t="s">
        <v>7075</v>
      </c>
      <c r="V67" s="206">
        <v>1426</v>
      </c>
      <c r="W67" s="206">
        <f t="shared" si="32"/>
        <v>1466.2718027397264</v>
      </c>
      <c r="X67" s="32">
        <f t="shared" si="36"/>
        <v>1495.597238794521</v>
      </c>
      <c r="Y67" s="32">
        <f t="shared" si="37"/>
        <v>1524.9226748493154</v>
      </c>
      <c r="Z67" s="120">
        <v>25287</v>
      </c>
      <c r="AA67" s="120"/>
      <c r="AB67" s="468"/>
      <c r="AD67" s="94"/>
      <c r="AI67" s="20">
        <v>47</v>
      </c>
      <c r="AJ67" s="115" t="s">
        <v>4110</v>
      </c>
      <c r="AK67" s="115">
        <v>-3100000</v>
      </c>
      <c r="AL67" s="20">
        <v>3</v>
      </c>
      <c r="AM67" s="97">
        <f t="shared" si="38"/>
        <v>1084</v>
      </c>
      <c r="AN67" s="111">
        <f t="shared" si="11"/>
        <v>-3360400000</v>
      </c>
      <c r="AO67" s="20"/>
    </row>
    <row r="68" spans="1:41">
      <c r="F68" t="s">
        <v>4084</v>
      </c>
      <c r="G68" s="9" t="s">
        <v>4079</v>
      </c>
      <c r="K68" s="206" t="s">
        <v>592</v>
      </c>
      <c r="L68" s="111">
        <f>SUM(L16:L49)</f>
        <v>29183239.874549866</v>
      </c>
      <c r="M68" s="166"/>
      <c r="N68" s="111">
        <f>N16+N17+N40</f>
        <v>141053</v>
      </c>
      <c r="P68" t="s">
        <v>25</v>
      </c>
      <c r="R68" s="167"/>
      <c r="S68" s="206" t="s">
        <v>7079</v>
      </c>
      <c r="T68" s="194">
        <f>T112-1185</f>
        <v>15</v>
      </c>
      <c r="U68" s="206" t="s">
        <v>7108</v>
      </c>
      <c r="V68" s="206">
        <v>432</v>
      </c>
      <c r="W68" s="206">
        <f t="shared" si="32"/>
        <v>443.53735890410962</v>
      </c>
      <c r="X68" s="32">
        <f t="shared" si="36"/>
        <v>452.40810608219181</v>
      </c>
      <c r="Y68" s="32">
        <f t="shared" si="37"/>
        <v>461.27885326027405</v>
      </c>
      <c r="Z68" s="120"/>
      <c r="AA68" s="120"/>
      <c r="AB68" s="470">
        <v>140597</v>
      </c>
      <c r="AD68" s="94"/>
      <c r="AI68" s="20">
        <v>48</v>
      </c>
      <c r="AJ68" s="115" t="s">
        <v>4125</v>
      </c>
      <c r="AK68" s="115">
        <v>45640000</v>
      </c>
      <c r="AL68" s="20">
        <v>1</v>
      </c>
      <c r="AM68" s="97">
        <f t="shared" si="38"/>
        <v>1081</v>
      </c>
      <c r="AN68" s="111">
        <f t="shared" si="11"/>
        <v>49336840000</v>
      </c>
      <c r="AO68" s="20"/>
    </row>
    <row r="69" spans="1:41">
      <c r="F69" t="s">
        <v>4085</v>
      </c>
      <c r="G69" s="9" t="s">
        <v>4081</v>
      </c>
      <c r="K69" s="206" t="s">
        <v>593</v>
      </c>
      <c r="L69" s="111">
        <f>L16+L17+L34</f>
        <v>54036776.874549866</v>
      </c>
      <c r="M69" s="111"/>
      <c r="N69" s="166"/>
      <c r="O69" s="113"/>
      <c r="P69" s="113" t="s">
        <v>25</v>
      </c>
      <c r="Q69" s="113"/>
      <c r="R69" s="167"/>
      <c r="S69" s="206" t="s">
        <v>7087</v>
      </c>
      <c r="T69" s="194">
        <f>T112-1190</f>
        <v>10</v>
      </c>
      <c r="U69" s="206" t="s">
        <v>7088</v>
      </c>
      <c r="V69" s="206">
        <v>1536</v>
      </c>
      <c r="W69" s="206">
        <f t="shared" si="32"/>
        <v>1571.1302136986303</v>
      </c>
      <c r="X69" s="32">
        <f t="shared" si="36"/>
        <v>1602.552817972603</v>
      </c>
      <c r="Y69" s="32">
        <f t="shared" si="37"/>
        <v>1633.9754222465756</v>
      </c>
      <c r="Z69" s="120">
        <v>9946</v>
      </c>
      <c r="AA69" s="120"/>
      <c r="AB69" s="471"/>
      <c r="AD69" s="94"/>
      <c r="AI69" s="20">
        <v>49</v>
      </c>
      <c r="AJ69" s="115" t="s">
        <v>4129</v>
      </c>
      <c r="AK69" s="115">
        <v>33500000</v>
      </c>
      <c r="AL69" s="20">
        <v>1</v>
      </c>
      <c r="AM69" s="97">
        <f t="shared" si="38"/>
        <v>1080</v>
      </c>
      <c r="AN69" s="111">
        <f t="shared" si="11"/>
        <v>36180000000</v>
      </c>
      <c r="AO69" s="20"/>
    </row>
    <row r="70" spans="1:41">
      <c r="G70" t="s">
        <v>4082</v>
      </c>
      <c r="K70" s="54" t="s">
        <v>708</v>
      </c>
      <c r="L70" s="111">
        <f>L68+N7</f>
        <v>129183239.87454987</v>
      </c>
      <c r="O70" s="94"/>
      <c r="P70" s="120" t="s">
        <v>25</v>
      </c>
      <c r="Q70" s="113"/>
      <c r="R70" s="167"/>
      <c r="S70" s="206" t="s">
        <v>7091</v>
      </c>
      <c r="T70" s="194">
        <f>T112-1191</f>
        <v>9</v>
      </c>
      <c r="U70" s="206" t="s">
        <v>7092</v>
      </c>
      <c r="V70" s="206">
        <v>1552</v>
      </c>
      <c r="W70" s="206">
        <f t="shared" si="32"/>
        <v>1586.3055780821921</v>
      </c>
      <c r="X70" s="32">
        <f t="shared" si="36"/>
        <v>1618.031689643836</v>
      </c>
      <c r="Y70" s="32">
        <f t="shared" si="37"/>
        <v>1649.7578012054798</v>
      </c>
      <c r="Z70" s="120">
        <v>128722</v>
      </c>
      <c r="AA70" s="120"/>
      <c r="AB70" s="473"/>
      <c r="AI70" s="20">
        <v>50</v>
      </c>
      <c r="AJ70" s="115" t="s">
        <v>4134</v>
      </c>
      <c r="AK70" s="115">
        <v>12000000</v>
      </c>
      <c r="AL70" s="20">
        <v>1</v>
      </c>
      <c r="AM70" s="97">
        <f t="shared" si="38"/>
        <v>1079</v>
      </c>
      <c r="AN70" s="115">
        <f t="shared" si="11"/>
        <v>12948000000</v>
      </c>
      <c r="AO70" s="20"/>
    </row>
    <row r="71" spans="1:41">
      <c r="G71" t="s">
        <v>4083</v>
      </c>
      <c r="M71" s="25"/>
      <c r="O71" t="s">
        <v>25</v>
      </c>
      <c r="R71" s="167"/>
      <c r="S71" s="206" t="s">
        <v>7094</v>
      </c>
      <c r="T71" s="194">
        <f>T112-1192</f>
        <v>8</v>
      </c>
      <c r="U71" s="206" t="s">
        <v>7095</v>
      </c>
      <c r="V71" s="206">
        <v>1532</v>
      </c>
      <c r="W71" s="206">
        <f t="shared" si="32"/>
        <v>1564.6882630136988</v>
      </c>
      <c r="X71" s="32">
        <f t="shared" si="36"/>
        <v>1595.9820282739729</v>
      </c>
      <c r="Y71" s="32">
        <f t="shared" si="37"/>
        <v>1627.2757935342468</v>
      </c>
      <c r="Z71" s="120">
        <v>2970</v>
      </c>
      <c r="AA71" s="120"/>
      <c r="AB71" s="474"/>
      <c r="AI71" s="20">
        <v>51</v>
      </c>
      <c r="AJ71" s="115" t="s">
        <v>4139</v>
      </c>
      <c r="AK71" s="115">
        <v>15500000</v>
      </c>
      <c r="AL71" s="20">
        <v>4</v>
      </c>
      <c r="AM71" s="97">
        <f t="shared" si="38"/>
        <v>1078</v>
      </c>
      <c r="AN71" s="115">
        <f t="shared" si="11"/>
        <v>16709000000</v>
      </c>
      <c r="AO71" s="20"/>
    </row>
    <row r="72" spans="1:41">
      <c r="G72" t="s">
        <v>4087</v>
      </c>
      <c r="M72" s="25"/>
      <c r="N72" s="94"/>
      <c r="O72" s="94" t="s">
        <v>25</v>
      </c>
      <c r="P72" s="113"/>
      <c r="R72" s="167"/>
      <c r="S72" s="206" t="s">
        <v>7107</v>
      </c>
      <c r="T72" s="194">
        <f>T112-1196</f>
        <v>4</v>
      </c>
      <c r="U72" s="206" t="s">
        <v>7113</v>
      </c>
      <c r="V72" s="206">
        <v>1495</v>
      </c>
      <c r="W72" s="206">
        <f t="shared" si="32"/>
        <v>1522.3113972602744</v>
      </c>
      <c r="X72" s="32">
        <f t="shared" si="36"/>
        <v>1552.7576252054798</v>
      </c>
      <c r="Y72" s="32">
        <f t="shared" si="37"/>
        <v>1583.2038531506853</v>
      </c>
      <c r="Z72" s="120">
        <v>10860</v>
      </c>
      <c r="AA72" s="120"/>
      <c r="AB72" s="474"/>
      <c r="AC72" t="s">
        <v>25</v>
      </c>
      <c r="AI72" s="20">
        <v>52</v>
      </c>
      <c r="AJ72" s="115" t="s">
        <v>4143</v>
      </c>
      <c r="AK72" s="115">
        <v>150000</v>
      </c>
      <c r="AL72" s="20">
        <v>1</v>
      </c>
      <c r="AM72" s="97">
        <f t="shared" si="38"/>
        <v>1074</v>
      </c>
      <c r="AN72" s="115">
        <f t="shared" si="11"/>
        <v>161100000</v>
      </c>
      <c r="AO72" s="20"/>
    </row>
    <row r="73" spans="1:41">
      <c r="G73" t="s">
        <v>4086</v>
      </c>
      <c r="M73" s="175"/>
      <c r="N73" s="94"/>
      <c r="O73" s="94" t="s">
        <v>6380</v>
      </c>
      <c r="P73" s="113"/>
      <c r="R73" s="167"/>
      <c r="S73" s="206" t="s">
        <v>7116</v>
      </c>
      <c r="T73" s="194">
        <f>T112-1200</f>
        <v>0</v>
      </c>
      <c r="U73" s="206" t="s">
        <v>7118</v>
      </c>
      <c r="V73" s="206">
        <v>1455</v>
      </c>
      <c r="W73" s="206">
        <f t="shared" si="32"/>
        <v>1477.1160000000002</v>
      </c>
      <c r="X73" s="32">
        <f t="shared" si="36"/>
        <v>1506.6583200000002</v>
      </c>
      <c r="Y73" s="32">
        <f t="shared" si="37"/>
        <v>1536.2006400000002</v>
      </c>
      <c r="Z73" s="120">
        <v>10295</v>
      </c>
      <c r="AA73" s="120"/>
      <c r="AB73" s="483"/>
      <c r="AI73" s="177">
        <v>53</v>
      </c>
      <c r="AJ73" s="178" t="s">
        <v>4149</v>
      </c>
      <c r="AK73" s="178">
        <v>29000000</v>
      </c>
      <c r="AL73" s="177">
        <v>15</v>
      </c>
      <c r="AM73" s="177">
        <f t="shared" si="38"/>
        <v>1073</v>
      </c>
      <c r="AN73" s="178">
        <f t="shared" si="11"/>
        <v>31117000000</v>
      </c>
      <c r="AO73" s="177" t="s">
        <v>4159</v>
      </c>
    </row>
    <row r="74" spans="1:41">
      <c r="M74" s="94"/>
      <c r="N74" s="94"/>
      <c r="O74" s="120" t="s">
        <v>6381</v>
      </c>
      <c r="R74" s="167"/>
      <c r="S74" s="206"/>
      <c r="T74" s="194"/>
      <c r="U74" s="206"/>
      <c r="V74" s="206"/>
      <c r="W74" s="206"/>
      <c r="X74" s="32"/>
      <c r="Y74" s="32"/>
      <c r="Z74" s="120"/>
      <c r="AA74" s="120"/>
      <c r="AB74" s="470"/>
      <c r="AC74" s="94"/>
      <c r="AD74" t="s">
        <v>25</v>
      </c>
      <c r="AI74" s="20">
        <v>54</v>
      </c>
      <c r="AJ74" s="115" t="s">
        <v>4183</v>
      </c>
      <c r="AK74" s="115">
        <v>-130000</v>
      </c>
      <c r="AL74" s="20">
        <v>7</v>
      </c>
      <c r="AM74" s="97">
        <f t="shared" si="38"/>
        <v>1058</v>
      </c>
      <c r="AN74" s="115">
        <f t="shared" si="11"/>
        <v>-137540000</v>
      </c>
      <c r="AO74" s="20" t="s">
        <v>4185</v>
      </c>
    </row>
    <row r="75" spans="1:41">
      <c r="G75" s="94"/>
      <c r="H75" s="94"/>
      <c r="M75" s="120" t="s">
        <v>4372</v>
      </c>
      <c r="O75" s="112" t="s">
        <v>6382</v>
      </c>
      <c r="Q75" s="113"/>
      <c r="R75" s="167" t="s">
        <v>25</v>
      </c>
      <c r="S75" s="166" t="s">
        <v>25</v>
      </c>
      <c r="T75" s="166" t="s">
        <v>25</v>
      </c>
      <c r="U75" s="166" t="s">
        <v>25</v>
      </c>
      <c r="V75" s="166"/>
      <c r="W75" s="206" t="e">
        <f>V75*(1+$S$108+$R$15*T75/36500)</f>
        <v>#VALUE!</v>
      </c>
      <c r="X75" s="32" t="e">
        <f t="shared" si="36"/>
        <v>#VALUE!</v>
      </c>
      <c r="Y75" s="32" t="e">
        <f t="shared" si="37"/>
        <v>#VALUE!</v>
      </c>
      <c r="Z75" s="120"/>
      <c r="AA75" s="120" t="s">
        <v>25</v>
      </c>
      <c r="AB75" s="94"/>
      <c r="AC75" s="94"/>
      <c r="AI75" s="20">
        <v>55</v>
      </c>
      <c r="AJ75" s="115" t="s">
        <v>4231</v>
      </c>
      <c r="AK75" s="115">
        <v>232000</v>
      </c>
      <c r="AL75" s="20">
        <v>2</v>
      </c>
      <c r="AM75" s="97">
        <f t="shared" si="38"/>
        <v>1051</v>
      </c>
      <c r="AN75" s="115">
        <f>AK75*AM75</f>
        <v>243832000</v>
      </c>
      <c r="AO75" s="20" t="s">
        <v>4233</v>
      </c>
    </row>
    <row r="76" spans="1:41">
      <c r="D76" s="3"/>
      <c r="E76" s="11" t="s">
        <v>304</v>
      </c>
      <c r="G76" s="94"/>
      <c r="H76" s="94"/>
      <c r="M76" s="120"/>
      <c r="N76" s="94"/>
      <c r="O76" s="120" t="s">
        <v>6388</v>
      </c>
      <c r="R76" s="167">
        <f>SUM(N28:N31)-SUM(R20:R75)</f>
        <v>2077109593.6758094</v>
      </c>
      <c r="S76" s="166" t="s">
        <v>25</v>
      </c>
      <c r="T76" s="166" t="s">
        <v>25</v>
      </c>
      <c r="U76" s="166" t="s">
        <v>25</v>
      </c>
      <c r="V76" s="166"/>
      <c r="W76" s="166"/>
      <c r="X76" s="32"/>
      <c r="Y76" s="32"/>
      <c r="Z76" t="s">
        <v>25</v>
      </c>
      <c r="AA76" s="120"/>
      <c r="AB76" t="s">
        <v>25</v>
      </c>
      <c r="AC76" s="94" t="s">
        <v>25</v>
      </c>
      <c r="AI76" s="20">
        <v>56</v>
      </c>
      <c r="AJ76" s="115" t="s">
        <v>4241</v>
      </c>
      <c r="AK76" s="115">
        <v>-170000</v>
      </c>
      <c r="AL76" s="20">
        <v>3</v>
      </c>
      <c r="AM76" s="97">
        <f t="shared" si="38"/>
        <v>1049</v>
      </c>
      <c r="AN76" s="115">
        <f t="shared" si="11"/>
        <v>-178330000</v>
      </c>
      <c r="AO76" s="20"/>
    </row>
    <row r="77" spans="1:41">
      <c r="D77" s="1" t="s">
        <v>305</v>
      </c>
      <c r="E77" s="1">
        <v>70000</v>
      </c>
      <c r="G77" s="94"/>
      <c r="H77" s="94"/>
      <c r="M77" s="120" t="s">
        <v>4514</v>
      </c>
      <c r="N77" s="94"/>
      <c r="O77" s="259"/>
      <c r="P77" t="s">
        <v>25</v>
      </c>
      <c r="S77" s="113" t="s">
        <v>25</v>
      </c>
      <c r="T77" s="113" t="s">
        <v>25</v>
      </c>
      <c r="U77" s="120" t="s">
        <v>25</v>
      </c>
      <c r="V77" s="113" t="s">
        <v>25</v>
      </c>
      <c r="W77" s="113" t="s">
        <v>25</v>
      </c>
      <c r="X77" s="191" t="s">
        <v>25</v>
      </c>
      <c r="Y77" s="191"/>
      <c r="AA77" s="120" t="s">
        <v>25</v>
      </c>
      <c r="AB77" t="s">
        <v>25</v>
      </c>
      <c r="AI77" s="20">
        <v>57</v>
      </c>
      <c r="AJ77" s="115" t="s">
        <v>4255</v>
      </c>
      <c r="AK77" s="115">
        <v>-300000</v>
      </c>
      <c r="AL77" s="20">
        <v>3</v>
      </c>
      <c r="AM77" s="97">
        <f t="shared" si="38"/>
        <v>1046</v>
      </c>
      <c r="AN77" s="115">
        <f t="shared" si="11"/>
        <v>-313800000</v>
      </c>
      <c r="AO77" s="20"/>
    </row>
    <row r="78" spans="1:41" ht="30">
      <c r="D78" s="1" t="s">
        <v>321</v>
      </c>
      <c r="E78" s="1">
        <v>100000</v>
      </c>
      <c r="G78" s="94"/>
      <c r="H78" s="94"/>
      <c r="M78" s="202" t="s">
        <v>4610</v>
      </c>
      <c r="N78" s="94"/>
      <c r="P78" s="113"/>
      <c r="R78" s="94" t="s">
        <v>25</v>
      </c>
      <c r="S78" s="113" t="s">
        <v>25</v>
      </c>
      <c r="T78" s="113"/>
      <c r="U78" s="113" t="s">
        <v>25</v>
      </c>
      <c r="V78" s="113" t="s">
        <v>25</v>
      </c>
      <c r="W78" s="120" t="s">
        <v>25</v>
      </c>
      <c r="X78" s="191"/>
      <c r="Y78" s="191" t="s">
        <v>25</v>
      </c>
      <c r="Z78" s="120" t="s">
        <v>25</v>
      </c>
      <c r="AA78" s="120" t="s">
        <v>25</v>
      </c>
      <c r="AB78" t="s">
        <v>25</v>
      </c>
      <c r="AE78" s="113"/>
      <c r="AF78" s="113"/>
      <c r="AI78" s="20">
        <v>58</v>
      </c>
      <c r="AJ78" s="115" t="s">
        <v>4264</v>
      </c>
      <c r="AK78" s="115">
        <v>-11400000</v>
      </c>
      <c r="AL78" s="20">
        <v>13</v>
      </c>
      <c r="AM78" s="97">
        <f t="shared" ref="AM78:AM83" si="39">AM79+AL78</f>
        <v>1043</v>
      </c>
      <c r="AN78" s="115">
        <f t="shared" si="11"/>
        <v>-11890200000</v>
      </c>
      <c r="AO78" s="20"/>
    </row>
    <row r="79" spans="1:41" ht="46.5">
      <c r="D79" s="1" t="s">
        <v>306</v>
      </c>
      <c r="E79" s="1">
        <v>80000</v>
      </c>
      <c r="G79" s="94"/>
      <c r="H79" s="94"/>
      <c r="K79" s="205" t="s">
        <v>4652</v>
      </c>
      <c r="L79" s="22" t="s">
        <v>4631</v>
      </c>
      <c r="M79" s="239" t="s">
        <v>4917</v>
      </c>
      <c r="N79" s="94"/>
      <c r="R79" s="166" t="s">
        <v>649</v>
      </c>
      <c r="S79" s="166"/>
      <c r="T79" s="166"/>
      <c r="U79" s="166"/>
      <c r="V79" s="166"/>
      <c r="W79" s="166"/>
      <c r="X79" s="32"/>
      <c r="Y79" s="32"/>
      <c r="AA79" t="s">
        <v>25</v>
      </c>
      <c r="AB79" s="113"/>
      <c r="AD79" s="113" t="s">
        <v>25</v>
      </c>
      <c r="AE79" s="113"/>
      <c r="AF79" s="113"/>
      <c r="AG79"/>
      <c r="AI79" s="20">
        <v>59</v>
      </c>
      <c r="AJ79" s="115" t="s">
        <v>4313</v>
      </c>
      <c r="AK79" s="115">
        <v>-10000000</v>
      </c>
      <c r="AL79" s="20">
        <v>1</v>
      </c>
      <c r="AM79" s="97">
        <f t="shared" si="39"/>
        <v>1030</v>
      </c>
      <c r="AN79" s="115">
        <f>AK79*AM79</f>
        <v>-10300000000</v>
      </c>
      <c r="AO79" s="20"/>
    </row>
    <row r="80" spans="1:41" ht="30">
      <c r="D80" s="31" t="s">
        <v>307</v>
      </c>
      <c r="E80" s="1">
        <v>150000</v>
      </c>
      <c r="G80" s="94"/>
      <c r="H80" s="94"/>
      <c r="K80" t="s">
        <v>4653</v>
      </c>
      <c r="M80" s="120"/>
      <c r="Q80" s="113"/>
      <c r="R80" s="166" t="s">
        <v>267</v>
      </c>
      <c r="S80" s="166" t="s">
        <v>180</v>
      </c>
      <c r="T80" s="166" t="s">
        <v>183</v>
      </c>
      <c r="U80" s="166" t="s">
        <v>8</v>
      </c>
      <c r="V80" s="166" t="s">
        <v>4329</v>
      </c>
      <c r="W80" s="71" t="s">
        <v>4331</v>
      </c>
      <c r="X80" s="32">
        <v>2</v>
      </c>
      <c r="Y80" s="32">
        <v>4</v>
      </c>
      <c r="AB80" s="113" t="s">
        <v>25</v>
      </c>
      <c r="AC80" s="113"/>
      <c r="AD80" s="113"/>
      <c r="AE80" s="113"/>
      <c r="AF80" s="113"/>
      <c r="AG80"/>
      <c r="AI80" s="20">
        <v>60</v>
      </c>
      <c r="AJ80" s="115" t="s">
        <v>4314</v>
      </c>
      <c r="AK80" s="115">
        <v>-2450000</v>
      </c>
      <c r="AL80" s="20">
        <v>5</v>
      </c>
      <c r="AM80" s="97">
        <f t="shared" si="39"/>
        <v>1029</v>
      </c>
      <c r="AN80" s="115">
        <f>AK80*AM80</f>
        <v>-2521050000</v>
      </c>
      <c r="AO80" s="20"/>
    </row>
    <row r="81" spans="4:53">
      <c r="D81" s="31" t="s">
        <v>308</v>
      </c>
      <c r="E81" s="1">
        <v>300000</v>
      </c>
      <c r="G81" s="94"/>
      <c r="H81" s="94"/>
      <c r="J81" t="s">
        <v>25</v>
      </c>
      <c r="K81" t="s">
        <v>4517</v>
      </c>
      <c r="L81" s="94"/>
      <c r="M81" s="94"/>
      <c r="N81" s="94"/>
      <c r="R81" s="166">
        <v>0</v>
      </c>
      <c r="S81" s="166" t="s">
        <v>4149</v>
      </c>
      <c r="T81" s="166">
        <f>T112</f>
        <v>1200</v>
      </c>
      <c r="U81" s="166"/>
      <c r="V81" s="166"/>
      <c r="W81" s="71"/>
      <c r="X81" s="32"/>
      <c r="Y81" s="32"/>
      <c r="AC81" s="113"/>
      <c r="AE81" s="113"/>
      <c r="AF81" s="113"/>
      <c r="AG81" s="113"/>
      <c r="AI81" s="20">
        <v>61</v>
      </c>
      <c r="AJ81" s="115" t="s">
        <v>4338</v>
      </c>
      <c r="AK81" s="115">
        <v>-456081</v>
      </c>
      <c r="AL81" s="20">
        <v>1</v>
      </c>
      <c r="AM81" s="97">
        <f t="shared" si="39"/>
        <v>1024</v>
      </c>
      <c r="AN81" s="115">
        <f t="shared" si="11"/>
        <v>-467026944</v>
      </c>
      <c r="AO81" s="20"/>
    </row>
    <row r="82" spans="4:53">
      <c r="D82" s="31" t="s">
        <v>309</v>
      </c>
      <c r="E82" s="1">
        <v>100000</v>
      </c>
      <c r="G82" s="94"/>
      <c r="H82" s="94"/>
      <c r="K82" t="s">
        <v>4708</v>
      </c>
      <c r="R82" s="167">
        <v>863944</v>
      </c>
      <c r="S82" s="166" t="s">
        <v>4394</v>
      </c>
      <c r="T82" s="166">
        <f>T81-62</f>
        <v>1138</v>
      </c>
      <c r="U82" s="188" t="s">
        <v>4453</v>
      </c>
      <c r="V82" s="166">
        <v>184.6</v>
      </c>
      <c r="W82" s="166">
        <f t="shared" ref="W82:W99" si="40">V82*(1+$S$108+$R$15*T82/36500)</f>
        <v>348.55919123287669</v>
      </c>
      <c r="X82" s="32">
        <f t="shared" ref="X82:X89" si="41">W82*(1+$X$19/100)</f>
        <v>355.53037505753423</v>
      </c>
      <c r="Y82" s="32">
        <f t="shared" ref="Y82:Y89" si="42">W82*(1+$Y$19/100)</f>
        <v>362.50155888219177</v>
      </c>
      <c r="Z82" s="94">
        <v>4661</v>
      </c>
      <c r="AB82" s="113"/>
      <c r="AC82" s="113"/>
      <c r="AD82" s="113"/>
      <c r="AE82" s="113"/>
      <c r="AF82" s="113"/>
      <c r="AG82" s="113"/>
      <c r="AI82" s="20">
        <v>62</v>
      </c>
      <c r="AJ82" s="115" t="s">
        <v>4340</v>
      </c>
      <c r="AK82" s="115">
        <v>-500000</v>
      </c>
      <c r="AL82" s="20">
        <v>2</v>
      </c>
      <c r="AM82" s="97">
        <f t="shared" si="39"/>
        <v>1023</v>
      </c>
      <c r="AN82" s="115">
        <f t="shared" si="11"/>
        <v>-511500000</v>
      </c>
      <c r="AO82" s="20"/>
      <c r="AP82" t="s">
        <v>25</v>
      </c>
      <c r="AV82"/>
      <c r="AX82" t="s">
        <v>25</v>
      </c>
    </row>
    <row r="83" spans="4:53">
      <c r="D83" s="31" t="s">
        <v>310</v>
      </c>
      <c r="E83" s="1">
        <v>200000</v>
      </c>
      <c r="F83" s="94"/>
      <c r="G83" s="94"/>
      <c r="H83" s="94"/>
      <c r="I83" s="94"/>
      <c r="J83" s="94"/>
      <c r="K83" t="s">
        <v>4709</v>
      </c>
      <c r="P83" s="113"/>
      <c r="R83" s="167">
        <v>1692313</v>
      </c>
      <c r="S83" s="166" t="s">
        <v>4456</v>
      </c>
      <c r="T83" s="194">
        <f>T82-21</f>
        <v>1117</v>
      </c>
      <c r="U83" s="187" t="s">
        <v>4457</v>
      </c>
      <c r="V83" s="166">
        <v>168.5</v>
      </c>
      <c r="W83" s="166">
        <f t="shared" si="40"/>
        <v>315.44492602739729</v>
      </c>
      <c r="X83" s="32">
        <f t="shared" si="41"/>
        <v>321.75382454794521</v>
      </c>
      <c r="Y83" s="32">
        <f t="shared" si="42"/>
        <v>328.0627230684932</v>
      </c>
      <c r="Z83" s="94">
        <v>10000</v>
      </c>
      <c r="AB83" s="113"/>
      <c r="AC83" s="113"/>
      <c r="AD83" s="126"/>
      <c r="AE83" s="113"/>
      <c r="AF83" s="113"/>
      <c r="AG83" s="113"/>
      <c r="AI83" s="20">
        <v>63</v>
      </c>
      <c r="AJ83" s="115" t="s">
        <v>4356</v>
      </c>
      <c r="AK83" s="115">
        <v>-6234370</v>
      </c>
      <c r="AL83" s="20">
        <v>3</v>
      </c>
      <c r="AM83" s="97">
        <f t="shared" si="39"/>
        <v>1021</v>
      </c>
      <c r="AN83" s="115">
        <f t="shared" si="11"/>
        <v>-6365291770</v>
      </c>
      <c r="AO83" s="20"/>
      <c r="AV83"/>
    </row>
    <row r="84" spans="4:53" ht="26.25">
      <c r="D84" s="18" t="s">
        <v>311</v>
      </c>
      <c r="E84" s="18">
        <v>300000</v>
      </c>
      <c r="F84" s="94"/>
      <c r="G84" s="94"/>
      <c r="H84" s="94"/>
      <c r="I84" s="94"/>
      <c r="J84" s="94"/>
      <c r="K84" t="s">
        <v>4710</v>
      </c>
      <c r="M84" s="236"/>
      <c r="R84" s="167">
        <v>101153</v>
      </c>
      <c r="S84" s="166" t="s">
        <v>4459</v>
      </c>
      <c r="T84" s="194">
        <f>T83-1</f>
        <v>1116</v>
      </c>
      <c r="U84" s="187" t="s">
        <v>4461</v>
      </c>
      <c r="V84" s="166">
        <v>166.7</v>
      </c>
      <c r="W84" s="166">
        <f t="shared" si="40"/>
        <v>311.94730849315067</v>
      </c>
      <c r="X84" s="32">
        <f t="shared" si="41"/>
        <v>318.1862546630137</v>
      </c>
      <c r="Y84" s="32">
        <f t="shared" si="42"/>
        <v>324.42520083287673</v>
      </c>
      <c r="Z84" s="94">
        <v>604</v>
      </c>
      <c r="AB84" s="120" t="s">
        <v>25</v>
      </c>
      <c r="AC84" s="113"/>
      <c r="AD84" s="126"/>
      <c r="AE84" s="113"/>
      <c r="AF84" s="113"/>
      <c r="AG84" s="113"/>
      <c r="AI84" s="20">
        <v>64</v>
      </c>
      <c r="AJ84" s="115" t="s">
        <v>4365</v>
      </c>
      <c r="AK84" s="115">
        <v>1950957</v>
      </c>
      <c r="AL84" s="20">
        <v>4</v>
      </c>
      <c r="AM84" s="97">
        <f t="shared" si="38"/>
        <v>1018</v>
      </c>
      <c r="AN84" s="115">
        <f t="shared" si="11"/>
        <v>1986074226</v>
      </c>
      <c r="AO84" s="20"/>
      <c r="BA84" t="s">
        <v>25</v>
      </c>
    </row>
    <row r="85" spans="4:53">
      <c r="D85" s="32" t="s">
        <v>312</v>
      </c>
      <c r="E85" s="1">
        <v>200000</v>
      </c>
      <c r="F85" s="94"/>
      <c r="G85" s="94"/>
      <c r="H85" s="94"/>
      <c r="I85" s="94"/>
      <c r="J85" s="94"/>
      <c r="K85" t="s">
        <v>4479</v>
      </c>
      <c r="R85" s="167">
        <v>183105</v>
      </c>
      <c r="S85" s="166" t="s">
        <v>4204</v>
      </c>
      <c r="T85" s="194">
        <f>T84-1</f>
        <v>1115</v>
      </c>
      <c r="U85" s="187" t="s">
        <v>4465</v>
      </c>
      <c r="V85" s="166">
        <v>166.6</v>
      </c>
      <c r="W85" s="166">
        <f t="shared" si="40"/>
        <v>311.63237479452056</v>
      </c>
      <c r="X85" s="32">
        <f t="shared" si="41"/>
        <v>317.86502229041099</v>
      </c>
      <c r="Y85" s="32">
        <f t="shared" si="42"/>
        <v>324.09766978630137</v>
      </c>
      <c r="Z85" s="94">
        <v>1094</v>
      </c>
      <c r="AB85" s="113" t="s">
        <v>25</v>
      </c>
      <c r="AC85" s="113"/>
      <c r="AD85" s="126"/>
      <c r="AE85" s="113"/>
      <c r="AF85" s="113"/>
      <c r="AG85" s="113"/>
      <c r="AI85" s="20">
        <v>65</v>
      </c>
      <c r="AJ85" s="115" t="s">
        <v>4388</v>
      </c>
      <c r="AK85" s="115">
        <v>600000</v>
      </c>
      <c r="AL85" s="20">
        <v>5</v>
      </c>
      <c r="AM85" s="97">
        <f t="shared" si="38"/>
        <v>1014</v>
      </c>
      <c r="AN85" s="115">
        <f t="shared" si="11"/>
        <v>608400000</v>
      </c>
      <c r="AO85" s="20"/>
    </row>
    <row r="86" spans="4:53">
      <c r="D86" s="32" t="s">
        <v>313</v>
      </c>
      <c r="E86" s="1">
        <v>20000</v>
      </c>
      <c r="F86" s="94"/>
      <c r="G86" s="94"/>
      <c r="H86" s="94"/>
      <c r="I86" s="94"/>
      <c r="J86" s="94"/>
      <c r="K86" t="s">
        <v>4520</v>
      </c>
      <c r="M86" s="241" t="s">
        <v>4922</v>
      </c>
      <c r="R86" s="167">
        <v>168846</v>
      </c>
      <c r="S86" s="166" t="s">
        <v>3673</v>
      </c>
      <c r="T86" s="194">
        <f>T85-30</f>
        <v>1085</v>
      </c>
      <c r="U86" s="187" t="s">
        <v>4547</v>
      </c>
      <c r="V86" s="166">
        <v>172.2</v>
      </c>
      <c r="W86" s="166">
        <f t="shared" si="40"/>
        <v>318.14445369863012</v>
      </c>
      <c r="X86" s="32">
        <f t="shared" si="41"/>
        <v>324.50734277260273</v>
      </c>
      <c r="Y86" s="32">
        <f t="shared" si="42"/>
        <v>330.87023184657534</v>
      </c>
      <c r="Z86" s="94">
        <v>976</v>
      </c>
      <c r="AB86" s="113"/>
      <c r="AC86" s="113"/>
      <c r="AD86" s="126"/>
      <c r="AE86" s="113"/>
      <c r="AF86" s="113"/>
      <c r="AG86" s="113"/>
      <c r="AI86" s="20">
        <v>66</v>
      </c>
      <c r="AJ86" s="115" t="s">
        <v>4396</v>
      </c>
      <c r="AK86" s="115">
        <v>7500000</v>
      </c>
      <c r="AL86" s="20">
        <v>2</v>
      </c>
      <c r="AM86" s="97">
        <f t="shared" si="38"/>
        <v>1009</v>
      </c>
      <c r="AN86" s="115">
        <f t="shared" si="11"/>
        <v>7567500000</v>
      </c>
      <c r="AO86" s="20"/>
      <c r="AT86" s="94"/>
    </row>
    <row r="87" spans="4:53">
      <c r="D87" s="32" t="s">
        <v>315</v>
      </c>
      <c r="E87" s="1">
        <v>50000</v>
      </c>
      <c r="G87" s="94"/>
      <c r="H87" s="94"/>
      <c r="K87" t="s">
        <v>4478</v>
      </c>
      <c r="M87" s="241" t="s">
        <v>4923</v>
      </c>
      <c r="R87" s="167">
        <v>19918023</v>
      </c>
      <c r="S87" s="5" t="s">
        <v>4767</v>
      </c>
      <c r="T87" s="194">
        <f>T86-75</f>
        <v>1010</v>
      </c>
      <c r="U87" s="187" t="s">
        <v>4769</v>
      </c>
      <c r="V87" s="206">
        <v>183</v>
      </c>
      <c r="W87" s="206">
        <f t="shared" si="40"/>
        <v>327.56899726027399</v>
      </c>
      <c r="X87" s="32">
        <f t="shared" si="41"/>
        <v>334.12037720547949</v>
      </c>
      <c r="Y87" s="32">
        <f t="shared" si="42"/>
        <v>340.67175715068498</v>
      </c>
      <c r="Z87" s="94">
        <v>108344</v>
      </c>
      <c r="AA87" s="113"/>
      <c r="AB87" s="113"/>
      <c r="AC87" s="113"/>
      <c r="AD87" s="126"/>
      <c r="AE87" s="113"/>
      <c r="AF87" s="113"/>
      <c r="AG87" s="113"/>
      <c r="AI87" s="20">
        <v>67</v>
      </c>
      <c r="AJ87" s="115" t="s">
        <v>4400</v>
      </c>
      <c r="AK87" s="115">
        <v>-587816</v>
      </c>
      <c r="AL87" s="20">
        <v>3</v>
      </c>
      <c r="AM87" s="97">
        <f t="shared" si="38"/>
        <v>1007</v>
      </c>
      <c r="AN87" s="115">
        <f t="shared" si="11"/>
        <v>-591930712</v>
      </c>
      <c r="AO87" s="20"/>
      <c r="AT87" s="94"/>
    </row>
    <row r="88" spans="4:53">
      <c r="D88" s="32" t="s">
        <v>316</v>
      </c>
      <c r="E88" s="1">
        <v>90000</v>
      </c>
      <c r="F88" s="94"/>
      <c r="G88" s="94"/>
      <c r="H88" s="94"/>
      <c r="I88" s="94"/>
      <c r="J88" s="94"/>
      <c r="K88" s="22" t="s">
        <v>4216</v>
      </c>
      <c r="R88" s="167">
        <v>1200301</v>
      </c>
      <c r="S88" s="19" t="s">
        <v>4844</v>
      </c>
      <c r="T88" s="194">
        <f>T87-34</f>
        <v>976</v>
      </c>
      <c r="U88" s="187" t="s">
        <v>4846</v>
      </c>
      <c r="V88" s="206">
        <v>218.5</v>
      </c>
      <c r="W88" s="206">
        <f t="shared" si="40"/>
        <v>385.41484383561641</v>
      </c>
      <c r="X88" s="32">
        <f t="shared" si="41"/>
        <v>393.12314071232873</v>
      </c>
      <c r="Y88" s="32">
        <f t="shared" si="42"/>
        <v>400.83143758904106</v>
      </c>
      <c r="Z88" s="94">
        <v>5468</v>
      </c>
      <c r="AA88" s="113"/>
      <c r="AB88" s="113"/>
      <c r="AC88" s="113"/>
      <c r="AD88" s="126"/>
      <c r="AE88" s="113"/>
      <c r="AF88" s="113"/>
      <c r="AG88" s="113"/>
      <c r="AI88" s="20">
        <v>68</v>
      </c>
      <c r="AJ88" s="115" t="s">
        <v>4399</v>
      </c>
      <c r="AK88" s="115">
        <v>-907489</v>
      </c>
      <c r="AL88" s="20">
        <v>0</v>
      </c>
      <c r="AM88" s="97">
        <f>AM89+AL88</f>
        <v>1004</v>
      </c>
      <c r="AN88" s="115">
        <f t="shared" si="11"/>
        <v>-911118956</v>
      </c>
      <c r="AO88" s="20"/>
      <c r="AQ88" t="s">
        <v>25</v>
      </c>
      <c r="AW88" t="s">
        <v>25</v>
      </c>
    </row>
    <row r="89" spans="4:53">
      <c r="D89" s="32" t="s">
        <v>317</v>
      </c>
      <c r="E89" s="1">
        <v>50000</v>
      </c>
      <c r="K89" t="s">
        <v>4475</v>
      </c>
      <c r="R89" s="167">
        <v>5837196.2537021004</v>
      </c>
      <c r="S89" s="19" t="s">
        <v>4868</v>
      </c>
      <c r="T89" s="194">
        <f>T88-16</f>
        <v>960</v>
      </c>
      <c r="U89" s="187" t="s">
        <v>5590</v>
      </c>
      <c r="V89" s="206">
        <v>196.2</v>
      </c>
      <c r="W89" s="206">
        <f t="shared" si="40"/>
        <v>343.67144547945202</v>
      </c>
      <c r="X89" s="32">
        <f t="shared" si="41"/>
        <v>350.54487438904107</v>
      </c>
      <c r="Y89" s="32">
        <f t="shared" si="42"/>
        <v>357.41830329863012</v>
      </c>
      <c r="Z89" s="94">
        <v>29619</v>
      </c>
      <c r="AA89" s="113"/>
      <c r="AB89" s="113"/>
      <c r="AD89" s="113" t="s">
        <v>25</v>
      </c>
      <c r="AE89" s="113"/>
      <c r="AF89" s="113"/>
      <c r="AG89" s="113"/>
      <c r="AH89" s="113"/>
      <c r="AI89" s="20">
        <v>69</v>
      </c>
      <c r="AJ89" s="115" t="s">
        <v>4399</v>
      </c>
      <c r="AK89" s="115">
        <v>2450000</v>
      </c>
      <c r="AL89" s="20">
        <v>1</v>
      </c>
      <c r="AM89" s="97">
        <f t="shared" si="38"/>
        <v>1004</v>
      </c>
      <c r="AN89" s="115">
        <f t="shared" si="11"/>
        <v>2459800000</v>
      </c>
      <c r="AO89" s="20" t="s">
        <v>4428</v>
      </c>
      <c r="AR89" t="s">
        <v>25</v>
      </c>
      <c r="AS89" t="s">
        <v>25</v>
      </c>
    </row>
    <row r="90" spans="4:53" ht="18.75">
      <c r="D90" s="32" t="s">
        <v>327</v>
      </c>
      <c r="E90" s="1">
        <v>150000</v>
      </c>
      <c r="F90" s="94"/>
      <c r="G90" s="94"/>
      <c r="H90" s="94"/>
      <c r="I90" s="94"/>
      <c r="J90" s="94"/>
      <c r="K90" t="s">
        <v>4268</v>
      </c>
      <c r="M90" s="282" t="s">
        <v>7081</v>
      </c>
      <c r="R90" s="167">
        <v>2948152</v>
      </c>
      <c r="S90" s="19" t="s">
        <v>5625</v>
      </c>
      <c r="T90" s="194">
        <f>T89-498</f>
        <v>462</v>
      </c>
      <c r="U90" s="187" t="s">
        <v>5626</v>
      </c>
      <c r="V90" s="206">
        <v>1550</v>
      </c>
      <c r="W90" s="206">
        <f t="shared" si="40"/>
        <v>2122.8969863013699</v>
      </c>
      <c r="X90" s="32">
        <f t="shared" ref="X90:X96" si="43">W90*(1+$X$19/100)</f>
        <v>2165.3549260273971</v>
      </c>
      <c r="Y90" s="32">
        <f t="shared" ref="Y90:Y96" si="44">W90*(1+$Y$19/100)</f>
        <v>2207.8128657534248</v>
      </c>
      <c r="Z90" s="94">
        <v>1895</v>
      </c>
      <c r="AD90" s="113"/>
      <c r="AE90" s="113"/>
      <c r="AF90"/>
      <c r="AH90" s="113"/>
      <c r="AI90" s="20">
        <v>70</v>
      </c>
      <c r="AJ90" s="115" t="s">
        <v>4430</v>
      </c>
      <c r="AK90" s="115">
        <v>1500000</v>
      </c>
      <c r="AL90" s="20">
        <v>1</v>
      </c>
      <c r="AM90" s="97">
        <f t="shared" si="38"/>
        <v>1003</v>
      </c>
      <c r="AN90" s="115">
        <f t="shared" si="11"/>
        <v>1504500000</v>
      </c>
      <c r="AO90" s="20"/>
      <c r="AQ90" t="s">
        <v>25</v>
      </c>
      <c r="AV90" s="94" t="s">
        <v>25</v>
      </c>
    </row>
    <row r="91" spans="4:53">
      <c r="D91" s="32" t="s">
        <v>318</v>
      </c>
      <c r="E91" s="1">
        <v>15000</v>
      </c>
      <c r="F91" s="94"/>
      <c r="G91" s="94"/>
      <c r="H91" s="94"/>
      <c r="K91" t="s">
        <v>25</v>
      </c>
      <c r="M91" s="190"/>
      <c r="R91" s="167"/>
      <c r="S91" s="19" t="s">
        <v>5721</v>
      </c>
      <c r="T91" s="194">
        <f>T90-83</f>
        <v>379</v>
      </c>
      <c r="U91" s="187" t="s">
        <v>5722</v>
      </c>
      <c r="V91" s="206">
        <v>1275</v>
      </c>
      <c r="W91" s="206">
        <f t="shared" si="40"/>
        <v>1665.0731506849315</v>
      </c>
      <c r="X91" s="32">
        <f t="shared" si="43"/>
        <v>1698.3746136986301</v>
      </c>
      <c r="Y91" s="32">
        <f t="shared" si="44"/>
        <v>1731.6760767123289</v>
      </c>
      <c r="Z91" s="94">
        <v>48654</v>
      </c>
      <c r="AF91"/>
      <c r="AH91" s="94"/>
      <c r="AI91" s="20">
        <v>71</v>
      </c>
      <c r="AJ91" s="115" t="s">
        <v>4436</v>
      </c>
      <c r="AK91" s="115">
        <v>2648000</v>
      </c>
      <c r="AL91" s="20">
        <v>1</v>
      </c>
      <c r="AM91" s="97">
        <f t="shared" si="38"/>
        <v>1002</v>
      </c>
      <c r="AN91" s="115">
        <f t="shared" si="11"/>
        <v>2653296000</v>
      </c>
      <c r="AO91" s="20" t="s">
        <v>4437</v>
      </c>
      <c r="AV91" s="94" t="s">
        <v>25</v>
      </c>
    </row>
    <row r="92" spans="4:53">
      <c r="D92" s="32" t="s">
        <v>319</v>
      </c>
      <c r="E92" s="1">
        <v>20000</v>
      </c>
      <c r="F92" s="94"/>
      <c r="G92" s="94"/>
      <c r="H92" s="94"/>
      <c r="I92" s="94"/>
      <c r="J92" s="94" t="s">
        <v>25</v>
      </c>
      <c r="K92" s="94"/>
      <c r="R92" s="167"/>
      <c r="S92" s="19" t="s">
        <v>5729</v>
      </c>
      <c r="T92" s="194">
        <f>T91-5</f>
        <v>374</v>
      </c>
      <c r="U92" s="187" t="s">
        <v>5730</v>
      </c>
      <c r="V92" s="206">
        <v>1210</v>
      </c>
      <c r="W92" s="206">
        <f t="shared" si="40"/>
        <v>1575.54597260274</v>
      </c>
      <c r="X92" s="32">
        <f t="shared" si="43"/>
        <v>1607.0568920547948</v>
      </c>
      <c r="Y92" s="32">
        <f t="shared" si="44"/>
        <v>1638.5678115068497</v>
      </c>
      <c r="Z92" s="94">
        <v>450</v>
      </c>
      <c r="AA92" s="94"/>
      <c r="AB92" s="94"/>
      <c r="AF92"/>
      <c r="AH92" s="94"/>
      <c r="AI92" s="20">
        <v>72</v>
      </c>
      <c r="AJ92" s="115" t="s">
        <v>4205</v>
      </c>
      <c r="AK92" s="115">
        <v>615000</v>
      </c>
      <c r="AL92" s="20">
        <v>4</v>
      </c>
      <c r="AM92" s="97">
        <f t="shared" si="38"/>
        <v>1001</v>
      </c>
      <c r="AN92" s="115">
        <f t="shared" si="11"/>
        <v>615615000</v>
      </c>
      <c r="AO92" s="20"/>
      <c r="AW92" t="s">
        <v>25</v>
      </c>
    </row>
    <row r="93" spans="4:53">
      <c r="D93" s="32" t="s">
        <v>320</v>
      </c>
      <c r="E93" s="1">
        <v>40000</v>
      </c>
      <c r="F93" s="94"/>
      <c r="G93" s="94"/>
      <c r="H93" s="94" t="s">
        <v>25</v>
      </c>
      <c r="I93" s="94"/>
      <c r="J93" s="32" t="s">
        <v>4480</v>
      </c>
      <c r="K93" s="206" t="s">
        <v>4595</v>
      </c>
      <c r="L93" s="32" t="s">
        <v>4597</v>
      </c>
      <c r="M93" s="32" t="s">
        <v>4572</v>
      </c>
      <c r="N93" s="206" t="s">
        <v>4573</v>
      </c>
      <c r="R93" s="167"/>
      <c r="S93" s="19" t="s">
        <v>5735</v>
      </c>
      <c r="T93" s="194">
        <f>T92-4</f>
        <v>370</v>
      </c>
      <c r="U93" s="187" t="s">
        <v>5736</v>
      </c>
      <c r="V93" s="206">
        <v>1175</v>
      </c>
      <c r="W93" s="206">
        <f t="shared" si="40"/>
        <v>1526.3668493150687</v>
      </c>
      <c r="X93" s="32">
        <f t="shared" si="43"/>
        <v>1556.8941863013702</v>
      </c>
      <c r="Y93" s="32">
        <f t="shared" si="44"/>
        <v>1587.4215232876716</v>
      </c>
      <c r="Z93" s="94">
        <v>27754</v>
      </c>
      <c r="AA93" s="94"/>
      <c r="AB93" s="94"/>
      <c r="AF93"/>
      <c r="AH93" s="94"/>
      <c r="AI93" s="20">
        <v>73</v>
      </c>
      <c r="AJ93" s="115" t="s">
        <v>4447</v>
      </c>
      <c r="AK93" s="115">
        <v>14000000</v>
      </c>
      <c r="AL93" s="20">
        <v>2</v>
      </c>
      <c r="AM93" s="97">
        <f>AM94+AL93</f>
        <v>997</v>
      </c>
      <c r="AN93" s="115">
        <f t="shared" si="11"/>
        <v>13958000000</v>
      </c>
      <c r="AO93" s="20"/>
    </row>
    <row r="94" spans="4:53">
      <c r="D94" s="32" t="s">
        <v>322</v>
      </c>
      <c r="E94" s="1">
        <v>150000</v>
      </c>
      <c r="F94" s="94"/>
      <c r="G94" s="94"/>
      <c r="H94" s="94"/>
      <c r="I94" s="94" t="s">
        <v>25</v>
      </c>
      <c r="J94" s="207" t="s">
        <v>4216</v>
      </c>
      <c r="K94" s="196">
        <v>837</v>
      </c>
      <c r="L94" s="208">
        <f t="shared" ref="L94:L99" si="45">K94*$L$102</f>
        <v>10228140000</v>
      </c>
      <c r="M94" s="208">
        <f>N28+N36+N51</f>
        <v>8597031232</v>
      </c>
      <c r="N94" s="181">
        <f>L94-M94</f>
        <v>1631108768</v>
      </c>
      <c r="R94" s="167"/>
      <c r="S94" s="19" t="s">
        <v>5737</v>
      </c>
      <c r="T94" s="194">
        <f>T93-3</f>
        <v>367</v>
      </c>
      <c r="U94" s="187" t="s">
        <v>5738</v>
      </c>
      <c r="V94" s="206">
        <v>1148</v>
      </c>
      <c r="W94" s="206">
        <f t="shared" si="40"/>
        <v>1488.6509150684933</v>
      </c>
      <c r="X94" s="32">
        <f t="shared" si="43"/>
        <v>1518.4239333698631</v>
      </c>
      <c r="Y94" s="32">
        <f t="shared" si="44"/>
        <v>1548.1969516712331</v>
      </c>
      <c r="Z94" s="94">
        <v>8020</v>
      </c>
      <c r="AA94" s="94"/>
      <c r="AB94" s="94"/>
      <c r="AI94" s="20">
        <v>74</v>
      </c>
      <c r="AJ94" s="115" t="s">
        <v>4451</v>
      </c>
      <c r="AK94" s="115">
        <v>1313000</v>
      </c>
      <c r="AL94" s="20">
        <v>0</v>
      </c>
      <c r="AM94" s="97">
        <f>AM95+AL94</f>
        <v>995</v>
      </c>
      <c r="AN94" s="115">
        <f t="shared" si="11"/>
        <v>1306435000</v>
      </c>
      <c r="AO94" s="20"/>
      <c r="AR94" t="s">
        <v>25</v>
      </c>
    </row>
    <row r="95" spans="4:53">
      <c r="D95" s="32" t="s">
        <v>324</v>
      </c>
      <c r="E95" s="1">
        <v>75000</v>
      </c>
      <c r="F95" s="94"/>
      <c r="G95" s="94"/>
      <c r="H95" s="94"/>
      <c r="I95" s="94"/>
      <c r="J95" s="32" t="s">
        <v>5262</v>
      </c>
      <c r="K95" s="206">
        <v>213</v>
      </c>
      <c r="L95" s="1">
        <f t="shared" si="45"/>
        <v>2602860000</v>
      </c>
      <c r="M95" s="1">
        <f>N54+N35+N29</f>
        <v>2354565886.3999996</v>
      </c>
      <c r="N95" s="111">
        <f t="shared" ref="N95:N97" si="46">L95-M95</f>
        <v>248294113.60000038</v>
      </c>
      <c r="R95" s="167"/>
      <c r="S95" s="19" t="s">
        <v>5741</v>
      </c>
      <c r="T95" s="194">
        <f>T94-1</f>
        <v>366</v>
      </c>
      <c r="U95" s="187" t="s">
        <v>5742</v>
      </c>
      <c r="V95" s="206">
        <v>1141</v>
      </c>
      <c r="W95" s="206">
        <f t="shared" si="40"/>
        <v>1478.6984876712329</v>
      </c>
      <c r="X95" s="32">
        <f t="shared" si="43"/>
        <v>1508.2724574246577</v>
      </c>
      <c r="Y95" s="32">
        <f t="shared" si="44"/>
        <v>1537.8464271780822</v>
      </c>
      <c r="Z95" s="94">
        <v>3695</v>
      </c>
      <c r="AA95" s="94"/>
      <c r="AB95" s="94"/>
      <c r="AI95" s="97">
        <v>75</v>
      </c>
      <c r="AJ95" s="111" t="s">
        <v>4451</v>
      </c>
      <c r="AK95" s="111">
        <v>2269000</v>
      </c>
      <c r="AL95" s="97">
        <v>1</v>
      </c>
      <c r="AM95" s="97">
        <f t="shared" ref="AM95:AM120" si="47">AM96+AL95</f>
        <v>995</v>
      </c>
      <c r="AN95" s="115">
        <f t="shared" si="11"/>
        <v>2257655000</v>
      </c>
      <c r="AO95" s="97"/>
    </row>
    <row r="96" spans="4:53">
      <c r="D96" s="32" t="s">
        <v>314</v>
      </c>
      <c r="E96" s="1">
        <v>140000</v>
      </c>
      <c r="F96" s="94"/>
      <c r="G96" s="94"/>
      <c r="H96" s="94"/>
      <c r="I96" s="94" t="s">
        <v>25</v>
      </c>
      <c r="J96" s="207" t="s">
        <v>4358</v>
      </c>
      <c r="K96" s="196">
        <v>0</v>
      </c>
      <c r="L96" s="208">
        <f t="shared" si="45"/>
        <v>0</v>
      </c>
      <c r="M96" s="208">
        <f>N50</f>
        <v>0</v>
      </c>
      <c r="N96" s="181">
        <f t="shared" si="46"/>
        <v>0</v>
      </c>
      <c r="R96" s="167"/>
      <c r="S96" s="19" t="s">
        <v>5739</v>
      </c>
      <c r="T96" s="194">
        <f>T95-1</f>
        <v>365</v>
      </c>
      <c r="U96" s="187" t="s">
        <v>7036</v>
      </c>
      <c r="V96" s="206">
        <v>1171</v>
      </c>
      <c r="W96" s="206">
        <f t="shared" si="40"/>
        <v>1516.6792000000003</v>
      </c>
      <c r="X96" s="32">
        <f t="shared" si="43"/>
        <v>1547.0127840000002</v>
      </c>
      <c r="Y96" s="32">
        <f t="shared" si="44"/>
        <v>1577.3463680000004</v>
      </c>
      <c r="Z96" s="94">
        <v>54223</v>
      </c>
      <c r="AI96" s="97">
        <v>76</v>
      </c>
      <c r="AJ96" s="111" t="s">
        <v>4206</v>
      </c>
      <c r="AK96" s="111">
        <v>750000</v>
      </c>
      <c r="AL96" s="97">
        <v>4</v>
      </c>
      <c r="AM96" s="97">
        <f t="shared" si="47"/>
        <v>994</v>
      </c>
      <c r="AN96" s="115">
        <f t="shared" si="11"/>
        <v>745500000</v>
      </c>
      <c r="AO96" s="97"/>
      <c r="AR96" t="s">
        <v>25</v>
      </c>
    </row>
    <row r="97" spans="4:48">
      <c r="D97" s="2" t="s">
        <v>476</v>
      </c>
      <c r="E97" s="3">
        <v>1083333</v>
      </c>
      <c r="F97" s="343"/>
      <c r="G97" s="343"/>
      <c r="H97" s="343"/>
      <c r="I97" s="343"/>
      <c r="J97" s="262" t="s">
        <v>5283</v>
      </c>
      <c r="K97" s="187">
        <v>0</v>
      </c>
      <c r="L97" s="263">
        <f t="shared" si="45"/>
        <v>0</v>
      </c>
      <c r="M97" s="263">
        <f>N26+N34+N47</f>
        <v>506</v>
      </c>
      <c r="N97" s="186">
        <f t="shared" si="46"/>
        <v>-506</v>
      </c>
      <c r="R97" s="167"/>
      <c r="S97" s="19" t="s">
        <v>5799</v>
      </c>
      <c r="T97" s="194">
        <f>T96-65</f>
        <v>300</v>
      </c>
      <c r="U97" s="187" t="s">
        <v>5800</v>
      </c>
      <c r="V97" s="206">
        <v>1255.0999999999999</v>
      </c>
      <c r="W97" s="206">
        <f t="shared" si="40"/>
        <v>1563.0224515068492</v>
      </c>
      <c r="X97" s="32">
        <f t="shared" ref="X97:X103" si="48">W97*(1+$X$19/100)</f>
        <v>1594.2829005369863</v>
      </c>
      <c r="Y97" s="32">
        <f t="shared" ref="Y97:Y103" si="49">W97*(1+$Y$19/100)</f>
        <v>1625.5433495671232</v>
      </c>
      <c r="Z97" s="94"/>
      <c r="AA97" s="94">
        <v>26860</v>
      </c>
      <c r="AB97" s="94">
        <f>AA97*3</f>
        <v>80580</v>
      </c>
      <c r="AI97" s="97">
        <v>77</v>
      </c>
      <c r="AJ97" s="111" t="s">
        <v>4456</v>
      </c>
      <c r="AK97" s="111">
        <v>1900000</v>
      </c>
      <c r="AL97" s="97">
        <v>3</v>
      </c>
      <c r="AM97" s="97">
        <f t="shared" si="47"/>
        <v>990</v>
      </c>
      <c r="AN97" s="115">
        <f t="shared" si="11"/>
        <v>1881000000</v>
      </c>
      <c r="AO97" s="97"/>
    </row>
    <row r="98" spans="4:48">
      <c r="D98" s="2"/>
      <c r="E98" s="3"/>
      <c r="F98" s="94"/>
      <c r="G98" s="94"/>
      <c r="H98" s="94"/>
      <c r="I98" s="94"/>
      <c r="J98" s="207" t="s">
        <v>314</v>
      </c>
      <c r="K98" s="196">
        <v>0</v>
      </c>
      <c r="L98" s="208">
        <f t="shared" si="45"/>
        <v>0</v>
      </c>
      <c r="M98" s="208">
        <f>N55+N30+N48+N27</f>
        <v>0</v>
      </c>
      <c r="N98" s="181">
        <f>L98-M98</f>
        <v>0</v>
      </c>
      <c r="R98" s="167"/>
      <c r="S98" s="19" t="s">
        <v>7063</v>
      </c>
      <c r="T98" s="194">
        <f>T112-1169</f>
        <v>31</v>
      </c>
      <c r="U98" s="187" t="s">
        <v>7066</v>
      </c>
      <c r="V98" s="206">
        <v>436.6</v>
      </c>
      <c r="W98" s="206">
        <f t="shared" si="40"/>
        <v>453.61902684931511</v>
      </c>
      <c r="X98" s="32">
        <f t="shared" si="48"/>
        <v>462.69140738630142</v>
      </c>
      <c r="Y98" s="32">
        <f t="shared" si="49"/>
        <v>471.76378792328774</v>
      </c>
      <c r="Z98" s="466"/>
      <c r="AA98" s="466"/>
      <c r="AB98" s="466">
        <v>2217</v>
      </c>
      <c r="AI98" s="97">
        <v>78</v>
      </c>
      <c r="AJ98" s="111" t="s">
        <v>4469</v>
      </c>
      <c r="AK98" s="111">
        <v>6400000</v>
      </c>
      <c r="AL98" s="97">
        <v>1</v>
      </c>
      <c r="AM98" s="97">
        <f t="shared" si="47"/>
        <v>987</v>
      </c>
      <c r="AN98" s="115">
        <f t="shared" si="11"/>
        <v>6316800000</v>
      </c>
      <c r="AO98" s="97"/>
    </row>
    <row r="99" spans="4:48">
      <c r="D99" s="2"/>
      <c r="E99" s="3"/>
      <c r="F99" s="472"/>
      <c r="G99" s="472"/>
      <c r="H99" s="472"/>
      <c r="I99" s="472"/>
      <c r="J99" s="237" t="s">
        <v>7093</v>
      </c>
      <c r="K99" s="189">
        <v>-154</v>
      </c>
      <c r="L99" s="238">
        <f t="shared" si="45"/>
        <v>-1881880000</v>
      </c>
      <c r="M99" s="238">
        <v>0</v>
      </c>
      <c r="N99" s="84">
        <f>L99-M99</f>
        <v>-1881880000</v>
      </c>
      <c r="R99" s="167"/>
      <c r="S99" s="19" t="s">
        <v>7063</v>
      </c>
      <c r="T99" s="194">
        <f>T112-1169</f>
        <v>31</v>
      </c>
      <c r="U99" s="187" t="s">
        <v>7067</v>
      </c>
      <c r="V99" s="206">
        <v>1396</v>
      </c>
      <c r="W99" s="206">
        <f t="shared" si="40"/>
        <v>1450.4172273972604</v>
      </c>
      <c r="X99" s="32">
        <f t="shared" si="48"/>
        <v>1479.4255719452055</v>
      </c>
      <c r="Y99" s="32">
        <f t="shared" si="49"/>
        <v>1508.4339164931509</v>
      </c>
      <c r="Z99" s="466">
        <v>4518</v>
      </c>
      <c r="AA99" s="466"/>
      <c r="AB99" s="466"/>
      <c r="AI99" s="97">
        <v>79</v>
      </c>
      <c r="AJ99" s="111" t="s">
        <v>4467</v>
      </c>
      <c r="AK99" s="111">
        <v>5000</v>
      </c>
      <c r="AL99" s="97">
        <v>5</v>
      </c>
      <c r="AM99" s="97">
        <f t="shared" si="47"/>
        <v>986</v>
      </c>
      <c r="AN99" s="115">
        <f t="shared" si="11"/>
        <v>4930000</v>
      </c>
      <c r="AO99" s="97"/>
      <c r="AQ99" t="s">
        <v>25</v>
      </c>
    </row>
    <row r="100" spans="4:48">
      <c r="D100" s="2" t="s">
        <v>6</v>
      </c>
      <c r="E100" s="3">
        <f>SUM(E77:E98)</f>
        <v>3383333</v>
      </c>
      <c r="F100" s="472"/>
      <c r="G100" s="472"/>
      <c r="H100" s="472"/>
      <c r="I100" s="472"/>
      <c r="J100" s="32"/>
      <c r="K100" s="206"/>
      <c r="L100" s="1"/>
      <c r="M100" s="1"/>
      <c r="N100" s="111"/>
      <c r="R100" s="167"/>
      <c r="S100" s="19"/>
      <c r="T100" s="194"/>
      <c r="U100" s="187"/>
      <c r="V100" s="206"/>
      <c r="W100" s="206"/>
      <c r="X100" s="32"/>
      <c r="Y100" s="32"/>
      <c r="Z100" s="466"/>
      <c r="AA100" s="466"/>
      <c r="AB100" s="466"/>
      <c r="AI100" s="97">
        <v>80</v>
      </c>
      <c r="AJ100" s="111" t="s">
        <v>4495</v>
      </c>
      <c r="AK100" s="111">
        <v>-1750148</v>
      </c>
      <c r="AL100" s="97">
        <v>1</v>
      </c>
      <c r="AM100" s="97">
        <f t="shared" si="47"/>
        <v>981</v>
      </c>
      <c r="AN100" s="115">
        <f t="shared" si="11"/>
        <v>-1716895188</v>
      </c>
      <c r="AO100" s="97"/>
    </row>
    <row r="101" spans="4:48">
      <c r="D101" s="2" t="s">
        <v>328</v>
      </c>
      <c r="E101" s="3">
        <f>E100/30</f>
        <v>112777.76666666666</v>
      </c>
      <c r="F101" s="472"/>
      <c r="G101" s="472"/>
      <c r="H101" s="472"/>
      <c r="I101" s="472"/>
      <c r="J101" s="207" t="s">
        <v>4980</v>
      </c>
      <c r="K101" s="196">
        <f>SUM(K94:K99)</f>
        <v>896</v>
      </c>
      <c r="L101" s="208"/>
      <c r="M101" s="208"/>
      <c r="N101" s="181"/>
      <c r="R101" s="167"/>
      <c r="S101" s="19"/>
      <c r="T101" s="194"/>
      <c r="U101" s="187"/>
      <c r="V101" s="206"/>
      <c r="W101" s="206">
        <f>V101*(1+$S$108+$R$15*T101/36500)</f>
        <v>0</v>
      </c>
      <c r="X101" s="32">
        <f t="shared" si="48"/>
        <v>0</v>
      </c>
      <c r="Y101" s="32">
        <f t="shared" si="49"/>
        <v>0</v>
      </c>
      <c r="Z101" s="94"/>
      <c r="AA101" s="94"/>
      <c r="AB101" s="94"/>
      <c r="AI101" s="97">
        <v>81</v>
      </c>
      <c r="AJ101" s="111" t="s">
        <v>4498</v>
      </c>
      <c r="AK101" s="111">
        <v>400000</v>
      </c>
      <c r="AL101" s="97">
        <v>0</v>
      </c>
      <c r="AM101" s="97">
        <f t="shared" si="47"/>
        <v>980</v>
      </c>
      <c r="AN101" s="115">
        <f t="shared" si="11"/>
        <v>392000000</v>
      </c>
      <c r="AO101" s="97"/>
    </row>
    <row r="102" spans="4:48">
      <c r="F102" s="94"/>
      <c r="G102" s="94"/>
      <c r="H102" s="94"/>
      <c r="I102" s="94"/>
      <c r="J102" s="32"/>
      <c r="K102" s="206">
        <v>0</v>
      </c>
      <c r="L102" s="39">
        <f>10*P56</f>
        <v>12220000</v>
      </c>
      <c r="M102" s="1">
        <f>K102*L102</f>
        <v>0</v>
      </c>
      <c r="N102" s="111">
        <f>SUM(N94:N100)-M102</f>
        <v>-2477624.3999996185</v>
      </c>
      <c r="R102" s="167"/>
      <c r="S102" s="19"/>
      <c r="T102" s="194"/>
      <c r="U102" s="187"/>
      <c r="V102" s="206"/>
      <c r="W102" s="206">
        <f>V102*(1+$S$108+$R$15*T102/36500)</f>
        <v>0</v>
      </c>
      <c r="X102" s="32">
        <f t="shared" si="48"/>
        <v>0</v>
      </c>
      <c r="Y102" s="32">
        <f t="shared" si="49"/>
        <v>0</v>
      </c>
      <c r="Z102" s="94"/>
      <c r="AA102" s="94"/>
      <c r="AB102" s="94"/>
      <c r="AI102" s="97">
        <v>82</v>
      </c>
      <c r="AJ102" s="111" t="s">
        <v>4498</v>
      </c>
      <c r="AK102" s="111">
        <v>-2105421</v>
      </c>
      <c r="AL102" s="97">
        <v>1</v>
      </c>
      <c r="AM102" s="97">
        <f t="shared" si="47"/>
        <v>980</v>
      </c>
      <c r="AN102" s="115">
        <f t="shared" si="11"/>
        <v>-2063312580</v>
      </c>
      <c r="AO102" s="97"/>
      <c r="AP102" t="s">
        <v>25</v>
      </c>
    </row>
    <row r="103" spans="4:48">
      <c r="F103" s="94"/>
      <c r="G103" s="94"/>
      <c r="H103" s="94"/>
      <c r="I103" s="94"/>
      <c r="J103" s="207"/>
      <c r="K103" s="225"/>
      <c r="L103" s="208" t="s">
        <v>4226</v>
      </c>
      <c r="M103" s="208" t="s">
        <v>4589</v>
      </c>
      <c r="N103" s="181" t="s">
        <v>4590</v>
      </c>
      <c r="R103" s="167"/>
      <c r="S103" s="166"/>
      <c r="T103" s="111"/>
      <c r="U103" s="111"/>
      <c r="V103" s="166" t="s">
        <v>25</v>
      </c>
      <c r="W103" s="206" t="e">
        <f>V103*(1+$S$108+$R$15*T103/36500)</f>
        <v>#VALUE!</v>
      </c>
      <c r="X103" s="32" t="e">
        <f t="shared" si="48"/>
        <v>#VALUE!</v>
      </c>
      <c r="Y103" s="32" t="e">
        <f t="shared" si="49"/>
        <v>#VALUE!</v>
      </c>
      <c r="AA103" t="s">
        <v>25</v>
      </c>
      <c r="AI103" s="97">
        <v>83</v>
      </c>
      <c r="AJ103" s="111" t="s">
        <v>4501</v>
      </c>
      <c r="AK103" s="111">
        <v>-5527618</v>
      </c>
      <c r="AL103" s="97">
        <v>0</v>
      </c>
      <c r="AM103" s="97">
        <f t="shared" si="47"/>
        <v>979</v>
      </c>
      <c r="AN103" s="115">
        <f t="shared" si="11"/>
        <v>-5411538022</v>
      </c>
      <c r="AO103" s="97"/>
    </row>
    <row r="104" spans="4:48">
      <c r="F104" s="94"/>
      <c r="G104" s="94"/>
      <c r="H104" s="94"/>
      <c r="I104" s="94"/>
      <c r="J104" s="485" t="s">
        <v>4596</v>
      </c>
      <c r="K104" s="486"/>
      <c r="L104" s="1"/>
      <c r="M104" s="1"/>
      <c r="N104" s="111"/>
      <c r="R104" s="111">
        <f>SUM(N35:N36)-SUM(R81:R103)</f>
        <v>450321498.34629792</v>
      </c>
      <c r="S104" s="166"/>
      <c r="T104" s="166"/>
      <c r="U104" s="166"/>
      <c r="V104" s="166"/>
      <c r="W104" s="166"/>
      <c r="X104" s="32"/>
      <c r="Y104" s="32"/>
      <c r="AA104" t="s">
        <v>25</v>
      </c>
      <c r="AB104" t="s">
        <v>25</v>
      </c>
      <c r="AI104" s="97">
        <v>84</v>
      </c>
      <c r="AJ104" s="111" t="s">
        <v>4501</v>
      </c>
      <c r="AK104" s="111">
        <v>3900000</v>
      </c>
      <c r="AL104" s="97">
        <v>3</v>
      </c>
      <c r="AM104" s="97">
        <f t="shared" si="47"/>
        <v>979</v>
      </c>
      <c r="AN104" s="115">
        <f t="shared" si="11"/>
        <v>3818100000</v>
      </c>
      <c r="AO104" s="97"/>
    </row>
    <row r="105" spans="4:48">
      <c r="F105" s="94"/>
      <c r="G105" s="94"/>
      <c r="H105" s="94"/>
      <c r="I105" s="94"/>
      <c r="J105" s="94" t="s">
        <v>25</v>
      </c>
      <c r="K105" t="s">
        <v>25</v>
      </c>
      <c r="L105" s="94"/>
      <c r="M105" s="94"/>
      <c r="S105" s="113"/>
      <c r="T105" s="113"/>
      <c r="U105" s="113" t="s">
        <v>25</v>
      </c>
      <c r="V105" s="113" t="s">
        <v>25</v>
      </c>
      <c r="W105" s="113" t="s">
        <v>25</v>
      </c>
      <c r="X105" s="191" t="s">
        <v>25</v>
      </c>
      <c r="Y105" s="191"/>
      <c r="AB105" t="s">
        <v>25</v>
      </c>
      <c r="AC105" s="94"/>
      <c r="AI105" s="97">
        <v>85</v>
      </c>
      <c r="AJ105" s="111" t="s">
        <v>4502</v>
      </c>
      <c r="AK105" s="111">
        <v>-3969754</v>
      </c>
      <c r="AL105" s="97">
        <v>1</v>
      </c>
      <c r="AM105" s="97">
        <f t="shared" si="47"/>
        <v>976</v>
      </c>
      <c r="AN105" s="115">
        <f t="shared" si="11"/>
        <v>-3874479904</v>
      </c>
      <c r="AO105" s="97"/>
    </row>
    <row r="106" spans="4:48">
      <c r="J106" t="s">
        <v>25</v>
      </c>
      <c r="R106" s="97" t="s">
        <v>932</v>
      </c>
      <c r="S106" s="97">
        <v>1.03E-2</v>
      </c>
      <c r="T106" s="26" t="s">
        <v>25</v>
      </c>
      <c r="U106" t="s">
        <v>25</v>
      </c>
      <c r="V106" s="94" t="s">
        <v>25</v>
      </c>
      <c r="W106" s="113" t="s">
        <v>25</v>
      </c>
      <c r="X106" s="191" t="s">
        <v>25</v>
      </c>
      <c r="Y106" s="191"/>
      <c r="AA106" t="s">
        <v>25</v>
      </c>
      <c r="AC106" s="94"/>
      <c r="AI106" s="97">
        <v>86</v>
      </c>
      <c r="AJ106" s="111" t="s">
        <v>4512</v>
      </c>
      <c r="AK106" s="111">
        <v>-25574455</v>
      </c>
      <c r="AL106" s="97">
        <v>0</v>
      </c>
      <c r="AM106" s="97">
        <f t="shared" si="47"/>
        <v>975</v>
      </c>
      <c r="AN106" s="115">
        <f t="shared" si="11"/>
        <v>-24935093625</v>
      </c>
      <c r="AO106" s="97"/>
      <c r="AQ106" t="s">
        <v>25</v>
      </c>
    </row>
    <row r="107" spans="4:48">
      <c r="R107" s="97" t="s">
        <v>61</v>
      </c>
      <c r="S107" s="97">
        <v>4.8999999999999998E-3</v>
      </c>
      <c r="U107" s="112" t="s">
        <v>25</v>
      </c>
      <c r="V107" s="94" t="s">
        <v>25</v>
      </c>
      <c r="W107" t="s">
        <v>25</v>
      </c>
      <c r="X107" s="191" t="s">
        <v>25</v>
      </c>
      <c r="Y107" s="191" t="s">
        <v>25</v>
      </c>
      <c r="Z107" s="94"/>
      <c r="AA107" s="94"/>
      <c r="AB107" s="94"/>
      <c r="AI107" s="97">
        <v>87</v>
      </c>
      <c r="AJ107" s="111" t="s">
        <v>4512</v>
      </c>
      <c r="AK107" s="111">
        <v>4000000</v>
      </c>
      <c r="AL107" s="97">
        <v>1</v>
      </c>
      <c r="AM107" s="97">
        <f t="shared" si="47"/>
        <v>975</v>
      </c>
      <c r="AN107" s="115">
        <f t="shared" si="11"/>
        <v>3900000000</v>
      </c>
      <c r="AO107" s="97"/>
    </row>
    <row r="108" spans="4:48">
      <c r="F108" s="474"/>
      <c r="G108" s="474"/>
      <c r="H108" s="474"/>
      <c r="I108" s="474"/>
      <c r="R108" s="97" t="s">
        <v>6</v>
      </c>
      <c r="S108" s="97">
        <f>S106+S107</f>
        <v>1.52E-2</v>
      </c>
      <c r="U108" t="s">
        <v>25</v>
      </c>
      <c r="V108" s="94" t="s">
        <v>25</v>
      </c>
      <c r="W108" t="s">
        <v>25</v>
      </c>
      <c r="X108" s="191"/>
      <c r="Y108" s="191"/>
      <c r="Z108" s="94"/>
      <c r="AA108" s="94"/>
      <c r="AB108" s="94" t="s">
        <v>25</v>
      </c>
      <c r="AI108" s="97">
        <v>88</v>
      </c>
      <c r="AJ108" s="111" t="s">
        <v>977</v>
      </c>
      <c r="AK108" s="111">
        <v>-5000000</v>
      </c>
      <c r="AL108" s="97">
        <v>2</v>
      </c>
      <c r="AM108" s="97">
        <f t="shared" si="47"/>
        <v>974</v>
      </c>
      <c r="AN108" s="115">
        <f t="shared" si="11"/>
        <v>-4870000000</v>
      </c>
      <c r="AO108" s="97"/>
    </row>
    <row r="109" spans="4:48">
      <c r="F109" s="474"/>
      <c r="G109" s="474"/>
      <c r="H109" s="474"/>
      <c r="I109" s="474"/>
      <c r="P109" s="94"/>
      <c r="X109" s="191"/>
      <c r="Y109" s="191"/>
      <c r="AB109" t="s">
        <v>25</v>
      </c>
      <c r="AE109" s="94"/>
      <c r="AF109"/>
      <c r="AG109"/>
      <c r="AI109" s="97">
        <v>89</v>
      </c>
      <c r="AJ109" s="111" t="s">
        <v>4516</v>
      </c>
      <c r="AK109" s="111">
        <v>10000000</v>
      </c>
      <c r="AL109" s="97">
        <v>4</v>
      </c>
      <c r="AM109" s="97">
        <f t="shared" si="47"/>
        <v>972</v>
      </c>
      <c r="AN109" s="115">
        <f t="shared" si="11"/>
        <v>9720000000</v>
      </c>
      <c r="AO109" s="97"/>
    </row>
    <row r="110" spans="4:48" ht="30">
      <c r="F110" s="474"/>
      <c r="G110" s="474"/>
      <c r="H110" s="474"/>
      <c r="I110" s="474"/>
      <c r="P110" s="94"/>
      <c r="R110" s="71" t="s">
        <v>4267</v>
      </c>
      <c r="S110" s="110"/>
      <c r="T110" s="110"/>
      <c r="U110" s="110"/>
      <c r="V110" s="166" t="s">
        <v>4329</v>
      </c>
      <c r="W110" s="36" t="s">
        <v>4331</v>
      </c>
      <c r="X110" s="32"/>
      <c r="Y110" s="32"/>
      <c r="Z110" s="94"/>
      <c r="AA110" s="94"/>
      <c r="AB110" s="94"/>
      <c r="AD110" t="s">
        <v>25</v>
      </c>
      <c r="AI110" s="97">
        <v>90</v>
      </c>
      <c r="AJ110" s="111" t="s">
        <v>4518</v>
      </c>
      <c r="AK110" s="111">
        <v>-5241937</v>
      </c>
      <c r="AL110" s="97">
        <v>0</v>
      </c>
      <c r="AM110" s="97">
        <f t="shared" si="47"/>
        <v>968</v>
      </c>
      <c r="AN110" s="115">
        <f t="shared" si="11"/>
        <v>-5074195016</v>
      </c>
      <c r="AO110" s="97"/>
    </row>
    <row r="111" spans="4:48">
      <c r="F111" s="474"/>
      <c r="G111" s="474"/>
      <c r="H111" s="474"/>
      <c r="I111" s="474"/>
      <c r="P111" s="94"/>
      <c r="R111" s="110" t="s">
        <v>267</v>
      </c>
      <c r="S111" s="110" t="s">
        <v>180</v>
      </c>
      <c r="T111" s="110" t="s">
        <v>183</v>
      </c>
      <c r="U111" s="110" t="s">
        <v>8</v>
      </c>
      <c r="V111" s="166"/>
      <c r="W111" s="97"/>
      <c r="X111" s="32">
        <v>2</v>
      </c>
      <c r="Y111" s="32">
        <v>4</v>
      </c>
      <c r="AI111" s="97">
        <v>91</v>
      </c>
      <c r="AJ111" s="111" t="s">
        <v>4518</v>
      </c>
      <c r="AK111" s="111">
        <v>21900000</v>
      </c>
      <c r="AL111" s="97">
        <v>2</v>
      </c>
      <c r="AM111" s="97">
        <f t="shared" si="47"/>
        <v>968</v>
      </c>
      <c r="AN111" s="115">
        <f t="shared" si="11"/>
        <v>21199200000</v>
      </c>
      <c r="AO111" s="97"/>
      <c r="AQ111" t="s">
        <v>25</v>
      </c>
      <c r="AV111"/>
    </row>
    <row r="112" spans="4:48">
      <c r="F112" s="474"/>
      <c r="G112" s="474"/>
      <c r="H112" s="474"/>
      <c r="I112" s="474"/>
      <c r="P112" s="94"/>
      <c r="R112" s="35">
        <v>38474780.062005915</v>
      </c>
      <c r="S112" s="5" t="s">
        <v>4149</v>
      </c>
      <c r="T112" s="5">
        <v>1200</v>
      </c>
      <c r="U112" s="5" t="s">
        <v>5558</v>
      </c>
      <c r="V112" s="166">
        <v>192</v>
      </c>
      <c r="W112" s="97">
        <f t="shared" ref="W112:W146" si="50">V112*(1+$S$108+$R$15*T112/36500)</f>
        <v>371.66360547945209</v>
      </c>
      <c r="X112" s="32">
        <f t="shared" ref="X112" si="51">W112*(1+$X$19/100)</f>
        <v>379.09687758904113</v>
      </c>
      <c r="Y112" s="32">
        <f t="shared" ref="Y112" si="52">W112*(1+$Y$19/100)</f>
        <v>386.53014969863017</v>
      </c>
      <c r="Z112" s="94">
        <v>200000</v>
      </c>
      <c r="AI112" s="97">
        <v>92</v>
      </c>
      <c r="AJ112" s="111" t="s">
        <v>4525</v>
      </c>
      <c r="AK112" s="111">
        <v>-15000000</v>
      </c>
      <c r="AL112" s="97">
        <v>0</v>
      </c>
      <c r="AM112" s="97">
        <f t="shared" si="47"/>
        <v>966</v>
      </c>
      <c r="AN112" s="115">
        <f t="shared" si="11"/>
        <v>-14490000000</v>
      </c>
      <c r="AO112" s="97"/>
      <c r="AP112" t="s">
        <v>25</v>
      </c>
    </row>
    <row r="113" spans="6:47">
      <c r="F113" s="474"/>
      <c r="G113" s="474"/>
      <c r="H113" s="474"/>
      <c r="I113" s="474"/>
      <c r="P113" t="s">
        <v>25</v>
      </c>
      <c r="R113" s="167">
        <v>433201621</v>
      </c>
      <c r="S113" s="206" t="s">
        <v>5562</v>
      </c>
      <c r="T113" s="206">
        <f>T112-695</f>
        <v>505</v>
      </c>
      <c r="U113" s="206" t="s">
        <v>5569</v>
      </c>
      <c r="V113" s="206">
        <v>1995.5</v>
      </c>
      <c r="W113" s="97">
        <f t="shared" si="50"/>
        <v>2798.8828328767127</v>
      </c>
      <c r="X113" s="32">
        <f t="shared" ref="X113:X114" si="53">W113*(1+$X$19/100)</f>
        <v>2854.8604895342469</v>
      </c>
      <c r="Y113" s="32">
        <f t="shared" ref="Y113:Y114" si="54">W113*(1+$Y$19/100)</f>
        <v>2910.8381461917811</v>
      </c>
      <c r="Z113">
        <v>216287</v>
      </c>
      <c r="AA113" t="s">
        <v>25</v>
      </c>
      <c r="AI113" s="97">
        <v>93</v>
      </c>
      <c r="AJ113" s="111" t="s">
        <v>4525</v>
      </c>
      <c r="AK113" s="111">
        <v>3000000</v>
      </c>
      <c r="AL113" s="97">
        <v>1</v>
      </c>
      <c r="AM113" s="97">
        <f t="shared" si="47"/>
        <v>966</v>
      </c>
      <c r="AN113" s="115">
        <f t="shared" si="11"/>
        <v>2898000000</v>
      </c>
      <c r="AO113" s="97"/>
    </row>
    <row r="114" spans="6:47">
      <c r="F114" s="474"/>
      <c r="G114" s="474"/>
      <c r="H114" s="474"/>
      <c r="I114" s="474"/>
      <c r="P114" t="s">
        <v>25</v>
      </c>
      <c r="Q114" s="112"/>
      <c r="R114" s="167">
        <v>8201348.2384272004</v>
      </c>
      <c r="S114" s="206" t="s">
        <v>5565</v>
      </c>
      <c r="T114" s="206">
        <f>T113-5</f>
        <v>500</v>
      </c>
      <c r="U114" s="206" t="s">
        <v>5618</v>
      </c>
      <c r="V114" s="206">
        <v>1751</v>
      </c>
      <c r="W114" s="97">
        <f t="shared" si="50"/>
        <v>2449.2316383561647</v>
      </c>
      <c r="X114" s="32">
        <f t="shared" si="53"/>
        <v>2498.2162711232882</v>
      </c>
      <c r="Y114" s="32">
        <f t="shared" si="54"/>
        <v>2547.2009038904112</v>
      </c>
      <c r="Z114">
        <v>4667</v>
      </c>
      <c r="AI114" s="97">
        <v>94</v>
      </c>
      <c r="AJ114" s="111" t="s">
        <v>4528</v>
      </c>
      <c r="AK114" s="111">
        <v>-2103736</v>
      </c>
      <c r="AL114" s="97">
        <v>0</v>
      </c>
      <c r="AM114" s="97">
        <f t="shared" si="47"/>
        <v>965</v>
      </c>
      <c r="AN114" s="115">
        <f t="shared" si="11"/>
        <v>-2030105240</v>
      </c>
      <c r="AO114" s="97"/>
    </row>
    <row r="115" spans="6:47">
      <c r="F115" s="474"/>
      <c r="G115" s="474"/>
      <c r="H115" s="474"/>
      <c r="I115" s="474"/>
      <c r="O115" t="s">
        <v>25</v>
      </c>
      <c r="P115" t="s">
        <v>25</v>
      </c>
      <c r="R115" s="167">
        <v>106896832</v>
      </c>
      <c r="S115" s="206" t="s">
        <v>5620</v>
      </c>
      <c r="T115" s="206">
        <f>T114-36</f>
        <v>464</v>
      </c>
      <c r="U115" s="206" t="s">
        <v>5621</v>
      </c>
      <c r="V115" s="206">
        <v>1715</v>
      </c>
      <c r="W115" s="97">
        <f t="shared" si="50"/>
        <v>2351.5140273972606</v>
      </c>
      <c r="X115" s="32">
        <f t="shared" ref="X115" si="55">W115*(1+$X$19/100)</f>
        <v>2398.5443079452057</v>
      </c>
      <c r="Y115" s="32">
        <f t="shared" ref="Y115" si="56">W115*(1+$Y$19/100)</f>
        <v>2445.5745884931512</v>
      </c>
      <c r="Z115" s="94">
        <v>62100</v>
      </c>
      <c r="AA115" t="s">
        <v>25</v>
      </c>
      <c r="AI115" s="97">
        <v>95</v>
      </c>
      <c r="AJ115" s="111" t="s">
        <v>4528</v>
      </c>
      <c r="AK115" s="111">
        <v>220000</v>
      </c>
      <c r="AL115" s="97">
        <v>3</v>
      </c>
      <c r="AM115" s="97">
        <f t="shared" si="47"/>
        <v>965</v>
      </c>
      <c r="AN115" s="115">
        <f t="shared" si="11"/>
        <v>212300000</v>
      </c>
      <c r="AO115" s="97"/>
      <c r="AS115" s="94"/>
      <c r="AT115" s="94"/>
      <c r="AU115"/>
    </row>
    <row r="116" spans="6:47">
      <c r="F116" s="474"/>
      <c r="G116" s="474"/>
      <c r="H116" s="474"/>
      <c r="I116" s="474"/>
      <c r="R116" s="167">
        <v>455942528</v>
      </c>
      <c r="S116" s="206" t="s">
        <v>5622</v>
      </c>
      <c r="T116" s="206">
        <f>T115-1</f>
        <v>463</v>
      </c>
      <c r="U116" s="206" t="s">
        <v>5623</v>
      </c>
      <c r="V116" s="206">
        <v>1631</v>
      </c>
      <c r="W116" s="97">
        <f t="shared" si="50"/>
        <v>2235.0866520547947</v>
      </c>
      <c r="X116" s="32">
        <f t="shared" ref="X116:X117" si="57">W116*(1+$X$19/100)</f>
        <v>2279.7883850958906</v>
      </c>
      <c r="Y116" s="32">
        <f t="shared" ref="Y116:Y117" si="58">W116*(1+$Y$19/100)</f>
        <v>2324.4901181369864</v>
      </c>
      <c r="Z116">
        <v>278514</v>
      </c>
      <c r="AB116" t="s">
        <v>25</v>
      </c>
      <c r="AI116" s="97">
        <v>96</v>
      </c>
      <c r="AJ116" s="111" t="s">
        <v>4537</v>
      </c>
      <c r="AK116" s="111">
        <v>4000000</v>
      </c>
      <c r="AL116" s="97">
        <v>1</v>
      </c>
      <c r="AM116" s="97">
        <f t="shared" si="47"/>
        <v>962</v>
      </c>
      <c r="AN116" s="115">
        <f t="shared" si="11"/>
        <v>3848000000</v>
      </c>
      <c r="AO116" s="97"/>
    </row>
    <row r="117" spans="6:47">
      <c r="F117" s="474"/>
      <c r="G117" s="474"/>
      <c r="H117" s="474"/>
      <c r="I117" s="474"/>
      <c r="P117" s="112"/>
      <c r="R117" s="167">
        <v>834999909.33089697</v>
      </c>
      <c r="S117" s="206" t="s">
        <v>5625</v>
      </c>
      <c r="T117" s="206">
        <f>T116-1</f>
        <v>462</v>
      </c>
      <c r="U117" s="206" t="s">
        <v>5644</v>
      </c>
      <c r="V117" s="206">
        <v>1567.4</v>
      </c>
      <c r="W117" s="97">
        <f t="shared" si="50"/>
        <v>2146.7282169863015</v>
      </c>
      <c r="X117" s="32">
        <f t="shared" si="57"/>
        <v>2189.6627813260275</v>
      </c>
      <c r="Y117" s="32">
        <f t="shared" si="58"/>
        <v>2232.5973456657534</v>
      </c>
      <c r="Z117">
        <v>530747</v>
      </c>
      <c r="AI117" s="97">
        <v>97</v>
      </c>
      <c r="AJ117" s="111" t="s">
        <v>4541</v>
      </c>
      <c r="AK117" s="111">
        <v>-9000000</v>
      </c>
      <c r="AL117" s="97">
        <v>0</v>
      </c>
      <c r="AM117" s="97">
        <f t="shared" si="47"/>
        <v>961</v>
      </c>
      <c r="AN117" s="115">
        <f t="shared" si="11"/>
        <v>-8649000000</v>
      </c>
      <c r="AO117" s="97"/>
      <c r="AQ117" t="s">
        <v>25</v>
      </c>
    </row>
    <row r="118" spans="6:47">
      <c r="F118" s="474"/>
      <c r="G118" s="474"/>
      <c r="H118" s="474"/>
      <c r="I118" s="474"/>
      <c r="P118" t="s">
        <v>25</v>
      </c>
      <c r="Q118" s="112"/>
      <c r="R118" s="167"/>
      <c r="S118" s="206" t="s">
        <v>5645</v>
      </c>
      <c r="T118" s="206">
        <f>T117-13</f>
        <v>449</v>
      </c>
      <c r="U118" s="206" t="s">
        <v>5646</v>
      </c>
      <c r="V118" s="206"/>
      <c r="W118" s="97">
        <f t="shared" si="50"/>
        <v>0</v>
      </c>
      <c r="X118" s="32">
        <f t="shared" ref="X118:X120" si="59">W118*(1+$X$19/100)</f>
        <v>0</v>
      </c>
      <c r="Y118" s="32">
        <f t="shared" ref="Y118:Y120" si="60">W118*(1+$Y$19/100)</f>
        <v>0</v>
      </c>
      <c r="Z118" s="94">
        <v>83532</v>
      </c>
      <c r="AA118" s="94"/>
      <c r="AB118" s="94"/>
      <c r="AI118" s="97">
        <v>98</v>
      </c>
      <c r="AJ118" s="111" t="s">
        <v>4541</v>
      </c>
      <c r="AK118" s="111">
        <v>13900000</v>
      </c>
      <c r="AL118" s="97">
        <v>2</v>
      </c>
      <c r="AM118" s="97">
        <f t="shared" si="47"/>
        <v>961</v>
      </c>
      <c r="AN118" s="115">
        <f t="shared" si="11"/>
        <v>13357900000</v>
      </c>
      <c r="AO118" s="97"/>
    </row>
    <row r="119" spans="6:47">
      <c r="F119" s="474"/>
      <c r="G119" s="474"/>
      <c r="H119" s="474"/>
      <c r="I119" s="474"/>
      <c r="R119" s="167" t="s">
        <v>25</v>
      </c>
      <c r="S119" s="206" t="s">
        <v>5647</v>
      </c>
      <c r="T119" s="206">
        <f>T118-1</f>
        <v>448</v>
      </c>
      <c r="U119" s="206" t="s">
        <v>5648</v>
      </c>
      <c r="V119" s="206"/>
      <c r="W119" s="97">
        <f t="shared" si="50"/>
        <v>0</v>
      </c>
      <c r="X119" s="32">
        <f t="shared" si="59"/>
        <v>0</v>
      </c>
      <c r="Y119" s="32">
        <f t="shared" si="60"/>
        <v>0</v>
      </c>
      <c r="Z119" s="94">
        <v>807014</v>
      </c>
      <c r="AA119" s="94"/>
      <c r="AB119" s="94"/>
      <c r="AI119" s="97">
        <v>99</v>
      </c>
      <c r="AJ119" s="111" t="s">
        <v>4545</v>
      </c>
      <c r="AK119" s="111">
        <v>-8127577</v>
      </c>
      <c r="AL119" s="97">
        <v>1</v>
      </c>
      <c r="AM119" s="97">
        <f t="shared" si="47"/>
        <v>959</v>
      </c>
      <c r="AN119" s="115">
        <f t="shared" si="11"/>
        <v>-7794346343</v>
      </c>
      <c r="AO119" s="97"/>
      <c r="AP119" t="s">
        <v>25</v>
      </c>
      <c r="AR119" t="s">
        <v>25</v>
      </c>
    </row>
    <row r="120" spans="6:47">
      <c r="M120" t="s">
        <v>25</v>
      </c>
      <c r="R120" s="167"/>
      <c r="S120" s="206" t="s">
        <v>5649</v>
      </c>
      <c r="T120" s="206">
        <f>T119-1</f>
        <v>447</v>
      </c>
      <c r="U120" s="206" t="s">
        <v>5697</v>
      </c>
      <c r="V120" s="206"/>
      <c r="W120" s="97">
        <f t="shared" si="50"/>
        <v>0</v>
      </c>
      <c r="X120" s="32">
        <f t="shared" si="59"/>
        <v>0</v>
      </c>
      <c r="Y120" s="32">
        <f t="shared" si="60"/>
        <v>0</v>
      </c>
      <c r="Z120" s="94">
        <v>399790</v>
      </c>
      <c r="AA120" s="94"/>
      <c r="AB120" s="94"/>
      <c r="AI120" s="97">
        <v>100</v>
      </c>
      <c r="AJ120" s="111" t="s">
        <v>3673</v>
      </c>
      <c r="AK120" s="111">
        <v>15792549</v>
      </c>
      <c r="AL120" s="97">
        <v>3</v>
      </c>
      <c r="AM120" s="97">
        <f t="shared" si="47"/>
        <v>958</v>
      </c>
      <c r="AN120" s="115">
        <f t="shared" si="11"/>
        <v>15129261942</v>
      </c>
      <c r="AO120" s="97"/>
      <c r="AP120" t="s">
        <v>25</v>
      </c>
      <c r="AQ120" t="s">
        <v>25</v>
      </c>
    </row>
    <row r="121" spans="6:47">
      <c r="G121" s="94" t="s">
        <v>25</v>
      </c>
      <c r="H121" s="94"/>
      <c r="I121" s="94"/>
      <c r="J121" s="94"/>
      <c r="P121" s="112"/>
      <c r="R121" s="167"/>
      <c r="S121" s="206" t="s">
        <v>5702</v>
      </c>
      <c r="T121" s="206">
        <f>T120-53</f>
        <v>394</v>
      </c>
      <c r="U121" s="206" t="s">
        <v>6945</v>
      </c>
      <c r="V121" s="206">
        <v>1500</v>
      </c>
      <c r="W121" s="97">
        <f t="shared" si="50"/>
        <v>1976.1698630136987</v>
      </c>
      <c r="X121" s="32">
        <f t="shared" ref="X121:X124" si="61">W121*(1+$X$19/100)</f>
        <v>2015.6932602739726</v>
      </c>
      <c r="Y121" s="32">
        <f t="shared" ref="Y121:Y124" si="62">W121*(1+$Y$19/100)</f>
        <v>2055.2166575342467</v>
      </c>
      <c r="Z121" s="94">
        <v>27349</v>
      </c>
      <c r="AA121" s="94"/>
      <c r="AB121" s="94"/>
      <c r="AI121" s="97">
        <v>101</v>
      </c>
      <c r="AJ121" s="111" t="s">
        <v>4549</v>
      </c>
      <c r="AK121" s="111">
        <v>8800000</v>
      </c>
      <c r="AL121" s="97">
        <v>0</v>
      </c>
      <c r="AM121" s="97">
        <f t="shared" ref="AM121:AM126" si="63">AM122+AL121</f>
        <v>955</v>
      </c>
      <c r="AN121" s="115">
        <f t="shared" ref="AN121:AN144" si="64">AK121*AM121</f>
        <v>8404000000</v>
      </c>
      <c r="AO121" s="97"/>
      <c r="AQ121" t="s">
        <v>25</v>
      </c>
    </row>
    <row r="122" spans="6:47" ht="17.25" customHeight="1">
      <c r="G122" s="94"/>
      <c r="H122" s="94"/>
      <c r="I122" s="94"/>
      <c r="J122" s="94"/>
      <c r="K122" s="166" t="s">
        <v>4480</v>
      </c>
      <c r="L122" s="166" t="s">
        <v>4481</v>
      </c>
      <c r="M122" s="166" t="s">
        <v>4392</v>
      </c>
      <c r="N122" s="54" t="s">
        <v>190</v>
      </c>
      <c r="R122" s="167"/>
      <c r="S122" s="206" t="s">
        <v>5755</v>
      </c>
      <c r="T122" s="206">
        <f>T121-71</f>
        <v>323</v>
      </c>
      <c r="U122" s="206" t="s">
        <v>5759</v>
      </c>
      <c r="V122" s="206">
        <v>1354.1</v>
      </c>
      <c r="W122" s="97">
        <f t="shared" si="50"/>
        <v>1710.202330958904</v>
      </c>
      <c r="X122" s="32">
        <f t="shared" si="61"/>
        <v>1744.4063775780821</v>
      </c>
      <c r="Y122" s="32">
        <f t="shared" si="62"/>
        <v>1778.6104241972603</v>
      </c>
      <c r="Z122" s="94"/>
      <c r="AA122" s="94">
        <v>22000</v>
      </c>
      <c r="AB122" s="94">
        <f>AA122*3</f>
        <v>66000</v>
      </c>
      <c r="AI122" s="119">
        <v>102</v>
      </c>
      <c r="AJ122" s="77" t="s">
        <v>4549</v>
      </c>
      <c r="AK122" s="77">
        <v>13071612</v>
      </c>
      <c r="AL122" s="119">
        <v>1</v>
      </c>
      <c r="AM122" s="119">
        <f t="shared" si="63"/>
        <v>955</v>
      </c>
      <c r="AN122" s="77">
        <f t="shared" si="64"/>
        <v>12483389460</v>
      </c>
      <c r="AO122" s="201" t="s">
        <v>4550</v>
      </c>
    </row>
    <row r="123" spans="6:47">
      <c r="G123" s="94"/>
      <c r="H123" s="94"/>
      <c r="I123" s="94"/>
      <c r="J123" s="94"/>
      <c r="K123" s="166" t="s">
        <v>4216</v>
      </c>
      <c r="L123" s="167">
        <v>1100000</v>
      </c>
      <c r="M123" s="167">
        <v>1637000</v>
      </c>
      <c r="N123" s="166">
        <f t="shared" ref="N123:N131" si="65">(M123-L123)*100/L123</f>
        <v>48.81818181818182</v>
      </c>
      <c r="R123" s="167"/>
      <c r="S123" s="206" t="s">
        <v>5760</v>
      </c>
      <c r="T123" s="206">
        <f>T122-8</f>
        <v>315</v>
      </c>
      <c r="U123" s="206" t="s">
        <v>5776</v>
      </c>
      <c r="V123" s="206">
        <v>1266</v>
      </c>
      <c r="W123" s="97">
        <f t="shared" si="50"/>
        <v>1591.164295890411</v>
      </c>
      <c r="X123" s="32">
        <f t="shared" si="61"/>
        <v>1622.9875818082194</v>
      </c>
      <c r="Y123" s="32">
        <f t="shared" si="62"/>
        <v>1654.8108677260275</v>
      </c>
      <c r="Z123" s="94"/>
      <c r="AA123" s="94">
        <v>62174</v>
      </c>
      <c r="AB123" s="464">
        <f t="shared" ref="AB123:AB131" si="66">AA123*3</f>
        <v>186522</v>
      </c>
      <c r="AI123" s="87">
        <v>103</v>
      </c>
      <c r="AJ123" s="88" t="s">
        <v>4553</v>
      </c>
      <c r="AK123" s="88">
        <v>16727037</v>
      </c>
      <c r="AL123" s="87">
        <v>0</v>
      </c>
      <c r="AM123" s="87">
        <f t="shared" si="63"/>
        <v>954</v>
      </c>
      <c r="AN123" s="88">
        <f t="shared" si="64"/>
        <v>15957593298</v>
      </c>
      <c r="AO123" s="87" t="s">
        <v>4560</v>
      </c>
    </row>
    <row r="124" spans="6:47">
      <c r="F124" s="94"/>
      <c r="G124" s="94"/>
      <c r="H124" s="94"/>
      <c r="I124" s="94"/>
      <c r="J124" s="94"/>
      <c r="K124" s="5" t="s">
        <v>4475</v>
      </c>
      <c r="L124" s="167">
        <v>1100000</v>
      </c>
      <c r="M124" s="167">
        <v>4748000</v>
      </c>
      <c r="N124" s="166">
        <f t="shared" si="65"/>
        <v>331.63636363636363</v>
      </c>
      <c r="R124" s="167"/>
      <c r="S124" s="206" t="s">
        <v>5777</v>
      </c>
      <c r="T124" s="206">
        <f>T123-13</f>
        <v>302</v>
      </c>
      <c r="U124" s="206" t="s">
        <v>6453</v>
      </c>
      <c r="V124" s="206">
        <v>1275</v>
      </c>
      <c r="W124" s="97">
        <f t="shared" si="50"/>
        <v>1589.7608219178082</v>
      </c>
      <c r="X124" s="32">
        <f t="shared" si="61"/>
        <v>1621.5560383561644</v>
      </c>
      <c r="Y124" s="32">
        <f t="shared" si="62"/>
        <v>1653.3512547945206</v>
      </c>
      <c r="Z124" s="94"/>
      <c r="AA124" s="94">
        <v>6826</v>
      </c>
      <c r="AB124" s="464">
        <f t="shared" si="66"/>
        <v>20478</v>
      </c>
      <c r="AI124" s="97">
        <v>104</v>
      </c>
      <c r="AJ124" s="111" t="s">
        <v>4553</v>
      </c>
      <c r="AK124" s="111">
        <v>12000000</v>
      </c>
      <c r="AL124" s="97">
        <v>1</v>
      </c>
      <c r="AM124" s="97">
        <f t="shared" si="63"/>
        <v>954</v>
      </c>
      <c r="AN124" s="115">
        <f t="shared" si="64"/>
        <v>11448000000</v>
      </c>
      <c r="AO124" s="97" t="s">
        <v>4561</v>
      </c>
    </row>
    <row r="125" spans="6:47">
      <c r="F125" s="94"/>
      <c r="G125" s="94"/>
      <c r="H125" s="94"/>
      <c r="I125" s="94"/>
      <c r="J125" s="94"/>
      <c r="K125" s="5" t="s">
        <v>4476</v>
      </c>
      <c r="L125" s="167">
        <v>1100000</v>
      </c>
      <c r="M125" s="167">
        <v>5137000</v>
      </c>
      <c r="N125" s="166">
        <f t="shared" si="65"/>
        <v>367</v>
      </c>
      <c r="R125" s="167"/>
      <c r="S125" s="206" t="s">
        <v>6454</v>
      </c>
      <c r="T125" s="206">
        <f>T124-117</f>
        <v>185</v>
      </c>
      <c r="U125" s="206" t="s">
        <v>6455</v>
      </c>
      <c r="V125" s="206">
        <v>1310</v>
      </c>
      <c r="W125" s="97">
        <f t="shared" si="50"/>
        <v>1515.8243287671235</v>
      </c>
      <c r="X125" s="32">
        <f t="shared" ref="X125:X126" si="67">W125*(1+$X$19/100)</f>
        <v>1546.1408153424659</v>
      </c>
      <c r="Y125" s="32">
        <f t="shared" ref="Y125:Y126" si="68">W125*(1+$Y$19/100)</f>
        <v>1576.4573019178085</v>
      </c>
      <c r="Z125" s="94"/>
      <c r="AA125" s="94">
        <v>22240</v>
      </c>
      <c r="AB125" s="464">
        <f t="shared" si="66"/>
        <v>66720</v>
      </c>
      <c r="AC125" s="94"/>
      <c r="AI125" s="87">
        <v>105</v>
      </c>
      <c r="AJ125" s="88" t="s">
        <v>4491</v>
      </c>
      <c r="AK125" s="88">
        <v>88697667</v>
      </c>
      <c r="AL125" s="87">
        <v>1</v>
      </c>
      <c r="AM125" s="87">
        <f t="shared" si="63"/>
        <v>953</v>
      </c>
      <c r="AN125" s="88">
        <f t="shared" si="64"/>
        <v>84528876651</v>
      </c>
      <c r="AO125" s="87" t="s">
        <v>4562</v>
      </c>
      <c r="AQ125" t="s">
        <v>25</v>
      </c>
    </row>
    <row r="126" spans="6:47">
      <c r="F126" s="94"/>
      <c r="G126" s="94"/>
      <c r="H126" s="94"/>
      <c r="I126" s="94"/>
      <c r="J126" s="94"/>
      <c r="K126" s="19" t="s">
        <v>4354</v>
      </c>
      <c r="L126" s="167">
        <v>1100000</v>
      </c>
      <c r="M126" s="167">
        <v>4300000</v>
      </c>
      <c r="N126" s="166">
        <f t="shared" si="65"/>
        <v>290.90909090909093</v>
      </c>
      <c r="R126" s="167"/>
      <c r="S126" s="206" t="s">
        <v>6463</v>
      </c>
      <c r="T126" s="206">
        <f>T125-4</f>
        <v>181</v>
      </c>
      <c r="U126" s="206" t="s">
        <v>6597</v>
      </c>
      <c r="V126" s="206">
        <v>1388</v>
      </c>
      <c r="W126" s="97">
        <f t="shared" si="50"/>
        <v>1601.8204493150686</v>
      </c>
      <c r="X126" s="32">
        <f t="shared" si="67"/>
        <v>1633.85685830137</v>
      </c>
      <c r="Y126" s="32">
        <f t="shared" si="68"/>
        <v>1665.8932672876713</v>
      </c>
      <c r="Z126" s="94"/>
      <c r="AA126" s="94">
        <v>356260</v>
      </c>
      <c r="AB126" s="464">
        <f t="shared" si="66"/>
        <v>1068780</v>
      </c>
      <c r="AC126" s="94" t="s">
        <v>25</v>
      </c>
      <c r="AI126" s="97">
        <v>106</v>
      </c>
      <c r="AJ126" s="111" t="s">
        <v>4494</v>
      </c>
      <c r="AK126" s="111">
        <v>101000</v>
      </c>
      <c r="AL126" s="97">
        <v>0</v>
      </c>
      <c r="AM126" s="97">
        <f t="shared" si="63"/>
        <v>952</v>
      </c>
      <c r="AN126" s="115">
        <f t="shared" si="64"/>
        <v>96152000</v>
      </c>
      <c r="AO126" s="97"/>
      <c r="AR126" t="s">
        <v>25</v>
      </c>
    </row>
    <row r="127" spans="6:47">
      <c r="F127" s="94"/>
      <c r="G127" s="94"/>
      <c r="H127" s="94"/>
      <c r="I127" s="94"/>
      <c r="J127" s="94"/>
      <c r="K127" s="5" t="s">
        <v>4371</v>
      </c>
      <c r="L127" s="167">
        <v>1100000</v>
      </c>
      <c r="M127" s="167">
        <v>3191000</v>
      </c>
      <c r="N127" s="166">
        <f t="shared" si="65"/>
        <v>190.09090909090909</v>
      </c>
      <c r="R127" s="167"/>
      <c r="S127" s="206" t="s">
        <v>6603</v>
      </c>
      <c r="T127" s="206">
        <f>T126-39</f>
        <v>142</v>
      </c>
      <c r="U127" s="206" t="s">
        <v>6911</v>
      </c>
      <c r="V127" s="206">
        <v>1702</v>
      </c>
      <c r="W127" s="97">
        <f t="shared" si="50"/>
        <v>1913.2718246575344</v>
      </c>
      <c r="X127" s="32">
        <f t="shared" ref="X127:X150" si="69">W127*(1+$X$19/100)</f>
        <v>1951.537261150685</v>
      </c>
      <c r="Y127" s="32">
        <f t="shared" ref="Y127:Y150" si="70">W127*(1+$Y$19/100)</f>
        <v>1989.8026976438357</v>
      </c>
      <c r="Z127" s="377"/>
      <c r="AA127" s="377">
        <v>1001</v>
      </c>
      <c r="AB127" s="464">
        <f t="shared" si="66"/>
        <v>3003</v>
      </c>
      <c r="AC127" s="94"/>
      <c r="AD127" t="s">
        <v>25</v>
      </c>
      <c r="AI127" s="147">
        <v>107</v>
      </c>
      <c r="AJ127" s="186" t="s">
        <v>4559</v>
      </c>
      <c r="AK127" s="186">
        <v>-48200</v>
      </c>
      <c r="AL127" s="147">
        <v>0</v>
      </c>
      <c r="AM127" s="147">
        <f t="shared" ref="AM127:AM177" si="71">AM128+AL127</f>
        <v>952</v>
      </c>
      <c r="AN127" s="186">
        <f t="shared" si="64"/>
        <v>-45886400</v>
      </c>
      <c r="AO127" s="147" t="s">
        <v>4565</v>
      </c>
    </row>
    <row r="128" spans="6:47">
      <c r="F128" s="94"/>
      <c r="G128" s="94"/>
      <c r="H128" s="94"/>
      <c r="I128" s="94"/>
      <c r="J128" s="94"/>
      <c r="K128" s="5" t="s">
        <v>4477</v>
      </c>
      <c r="L128" s="167">
        <v>1100000</v>
      </c>
      <c r="M128" s="167">
        <v>5623000</v>
      </c>
      <c r="N128" s="166">
        <f t="shared" si="65"/>
        <v>411.18181818181819</v>
      </c>
      <c r="R128" s="167"/>
      <c r="S128" s="206" t="s">
        <v>6914</v>
      </c>
      <c r="T128" s="206">
        <f>T112-1086</f>
        <v>114</v>
      </c>
      <c r="U128" s="206" t="s">
        <v>6916</v>
      </c>
      <c r="V128" s="206">
        <v>1555</v>
      </c>
      <c r="W128" s="97">
        <f t="shared" si="50"/>
        <v>1714.6239452054797</v>
      </c>
      <c r="X128" s="32">
        <f t="shared" si="69"/>
        <v>1748.9164241095893</v>
      </c>
      <c r="Y128" s="32">
        <f t="shared" si="70"/>
        <v>1783.208903013699</v>
      </c>
      <c r="Z128" s="410"/>
      <c r="AA128" s="410">
        <v>93469</v>
      </c>
      <c r="AB128" s="464">
        <f t="shared" si="66"/>
        <v>280407</v>
      </c>
      <c r="AC128" t="s">
        <v>25</v>
      </c>
      <c r="AI128" s="87">
        <v>108</v>
      </c>
      <c r="AJ128" s="88" t="s">
        <v>4559</v>
      </c>
      <c r="AK128" s="88">
        <v>39327293</v>
      </c>
      <c r="AL128" s="87">
        <v>4</v>
      </c>
      <c r="AM128" s="147">
        <f t="shared" si="71"/>
        <v>952</v>
      </c>
      <c r="AN128" s="186">
        <f t="shared" si="64"/>
        <v>37439582936</v>
      </c>
      <c r="AO128" s="87" t="s">
        <v>4566</v>
      </c>
    </row>
    <row r="129" spans="6:44">
      <c r="F129" s="94"/>
      <c r="G129" s="94"/>
      <c r="H129" s="94"/>
      <c r="I129" s="94"/>
      <c r="J129" s="94"/>
      <c r="K129" s="19" t="s">
        <v>4358</v>
      </c>
      <c r="L129" s="167">
        <v>1100000</v>
      </c>
      <c r="M129" s="167">
        <v>7728000</v>
      </c>
      <c r="N129" s="166">
        <f t="shared" si="65"/>
        <v>602.5454545454545</v>
      </c>
      <c r="R129" s="167"/>
      <c r="S129" s="206" t="s">
        <v>6920</v>
      </c>
      <c r="T129" s="206">
        <f>T112-1100</f>
        <v>100</v>
      </c>
      <c r="U129" s="206" t="s">
        <v>6922</v>
      </c>
      <c r="V129" s="206">
        <v>1525</v>
      </c>
      <c r="W129" s="97">
        <f t="shared" si="50"/>
        <v>1665.166301369863</v>
      </c>
      <c r="X129" s="32">
        <f t="shared" si="69"/>
        <v>1698.4696273972604</v>
      </c>
      <c r="Y129" s="32">
        <f t="shared" si="70"/>
        <v>1731.7729534246575</v>
      </c>
      <c r="Z129" s="414"/>
      <c r="AA129" s="414">
        <v>672591</v>
      </c>
      <c r="AB129" s="464">
        <f t="shared" si="66"/>
        <v>2017773</v>
      </c>
      <c r="AI129" s="87">
        <v>109</v>
      </c>
      <c r="AJ129" s="88" t="s">
        <v>4580</v>
      </c>
      <c r="AK129" s="88">
        <v>8749050</v>
      </c>
      <c r="AL129" s="87">
        <v>1</v>
      </c>
      <c r="AM129" s="87">
        <f t="shared" si="71"/>
        <v>948</v>
      </c>
      <c r="AN129" s="88">
        <f t="shared" si="64"/>
        <v>8294099400</v>
      </c>
      <c r="AO129" s="87" t="s">
        <v>4581</v>
      </c>
    </row>
    <row r="130" spans="6:44">
      <c r="F130" s="94"/>
      <c r="G130" s="94"/>
      <c r="H130" s="94"/>
      <c r="I130" s="94"/>
      <c r="J130" s="94"/>
      <c r="K130" s="5" t="s">
        <v>4479</v>
      </c>
      <c r="L130" s="167">
        <v>1100000</v>
      </c>
      <c r="M130" s="167">
        <v>2904000</v>
      </c>
      <c r="N130" s="166">
        <f t="shared" si="65"/>
        <v>164</v>
      </c>
      <c r="R130" s="167"/>
      <c r="S130" s="206" t="s">
        <v>6923</v>
      </c>
      <c r="T130" s="206">
        <f>T112-1102</f>
        <v>98</v>
      </c>
      <c r="U130" s="206" t="s">
        <v>6924</v>
      </c>
      <c r="V130" s="206">
        <v>1541</v>
      </c>
      <c r="W130" s="97">
        <f t="shared" si="50"/>
        <v>1680.2726246575346</v>
      </c>
      <c r="X130" s="32">
        <f t="shared" si="69"/>
        <v>1713.8780771506854</v>
      </c>
      <c r="Y130" s="32">
        <f t="shared" si="70"/>
        <v>1747.4835296438362</v>
      </c>
      <c r="Z130" s="414"/>
      <c r="AA130" s="414">
        <v>227276</v>
      </c>
      <c r="AB130" s="464">
        <f t="shared" si="66"/>
        <v>681828</v>
      </c>
      <c r="AI130" s="97">
        <v>110</v>
      </c>
      <c r="AJ130" s="111" t="s">
        <v>4582</v>
      </c>
      <c r="AK130" s="111">
        <v>60000</v>
      </c>
      <c r="AL130" s="97">
        <v>1</v>
      </c>
      <c r="AM130" s="97">
        <f t="shared" si="71"/>
        <v>947</v>
      </c>
      <c r="AN130" s="115">
        <f t="shared" si="64"/>
        <v>56820000</v>
      </c>
      <c r="AO130" s="97" t="s">
        <v>4583</v>
      </c>
    </row>
    <row r="131" spans="6:44">
      <c r="G131" s="94"/>
      <c r="H131" s="94"/>
      <c r="I131" s="94"/>
      <c r="J131" s="94"/>
      <c r="K131" s="54" t="s">
        <v>1068</v>
      </c>
      <c r="L131" s="167">
        <v>1100000</v>
      </c>
      <c r="M131" s="167">
        <v>3400000</v>
      </c>
      <c r="N131" s="166">
        <f t="shared" si="65"/>
        <v>209.09090909090909</v>
      </c>
      <c r="R131" s="167"/>
      <c r="S131" s="206" t="s">
        <v>6925</v>
      </c>
      <c r="T131" s="206">
        <f>T112-1103</f>
        <v>97</v>
      </c>
      <c r="U131" s="206" t="s">
        <v>6956</v>
      </c>
      <c r="V131" s="206">
        <v>1525</v>
      </c>
      <c r="W131" s="97">
        <f t="shared" si="50"/>
        <v>1661.6567123287673</v>
      </c>
      <c r="X131" s="32">
        <f t="shared" si="69"/>
        <v>1694.8898465753427</v>
      </c>
      <c r="Y131" s="32">
        <f t="shared" si="70"/>
        <v>1728.122980821918</v>
      </c>
      <c r="Z131" s="412"/>
      <c r="AA131" s="412">
        <v>58273.334000000003</v>
      </c>
      <c r="AB131" s="464">
        <f t="shared" si="66"/>
        <v>174820.00200000001</v>
      </c>
      <c r="AI131" s="20">
        <v>111</v>
      </c>
      <c r="AJ131" s="115" t="s">
        <v>4591</v>
      </c>
      <c r="AK131" s="115">
        <v>4750000</v>
      </c>
      <c r="AL131" s="20">
        <v>0</v>
      </c>
      <c r="AM131" s="97">
        <f t="shared" si="71"/>
        <v>946</v>
      </c>
      <c r="AN131" s="115">
        <f t="shared" si="64"/>
        <v>4493500000</v>
      </c>
      <c r="AO131" s="20"/>
      <c r="AR131" t="s">
        <v>25</v>
      </c>
    </row>
    <row r="132" spans="6:44">
      <c r="K132" s="224" t="s">
        <v>5346</v>
      </c>
      <c r="R132" s="167"/>
      <c r="S132" s="206" t="s">
        <v>6948</v>
      </c>
      <c r="T132" s="206">
        <f>T112-1113</f>
        <v>87</v>
      </c>
      <c r="U132" s="206" t="s">
        <v>6949</v>
      </c>
      <c r="V132" s="206">
        <v>1580</v>
      </c>
      <c r="W132" s="97">
        <f t="shared" si="50"/>
        <v>1709.4647671232876</v>
      </c>
      <c r="X132" s="32">
        <f t="shared" si="69"/>
        <v>1743.6540624657534</v>
      </c>
      <c r="Y132" s="32">
        <f t="shared" si="70"/>
        <v>1777.8433578082193</v>
      </c>
      <c r="Z132" s="430">
        <v>45255</v>
      </c>
      <c r="AA132" s="430"/>
      <c r="AB132" s="464"/>
      <c r="AD132" t="s">
        <v>25</v>
      </c>
      <c r="AI132" s="87">
        <v>112</v>
      </c>
      <c r="AJ132" s="88" t="s">
        <v>4591</v>
      </c>
      <c r="AK132" s="88">
        <v>13101160</v>
      </c>
      <c r="AL132" s="87">
        <v>1</v>
      </c>
      <c r="AM132" s="87">
        <f t="shared" si="71"/>
        <v>946</v>
      </c>
      <c r="AN132" s="88">
        <f t="shared" si="64"/>
        <v>12393697360</v>
      </c>
      <c r="AO132" s="87" t="s">
        <v>4594</v>
      </c>
    </row>
    <row r="133" spans="6:44">
      <c r="K133" s="224" t="s">
        <v>4508</v>
      </c>
      <c r="R133" s="167"/>
      <c r="S133" s="206" t="s">
        <v>6950</v>
      </c>
      <c r="T133" s="206">
        <f>T112-1114</f>
        <v>86</v>
      </c>
      <c r="U133" s="206" t="s">
        <v>6951</v>
      </c>
      <c r="V133" s="206">
        <v>1560</v>
      </c>
      <c r="W133" s="97">
        <f t="shared" si="50"/>
        <v>1686.6292602739727</v>
      </c>
      <c r="X133" s="32">
        <f t="shared" si="69"/>
        <v>1720.3618454794521</v>
      </c>
      <c r="Y133" s="32">
        <f t="shared" si="70"/>
        <v>1754.0944306849317</v>
      </c>
      <c r="Z133" s="430">
        <v>48918</v>
      </c>
      <c r="AA133" s="430"/>
      <c r="AB133" s="464"/>
      <c r="AI133" s="20">
        <v>113</v>
      </c>
      <c r="AJ133" s="115" t="s">
        <v>4593</v>
      </c>
      <c r="AK133" s="115">
        <v>-980000</v>
      </c>
      <c r="AL133" s="20">
        <v>0</v>
      </c>
      <c r="AM133" s="97">
        <f t="shared" si="71"/>
        <v>945</v>
      </c>
      <c r="AN133" s="115">
        <f t="shared" si="64"/>
        <v>-926100000</v>
      </c>
      <c r="AO133" s="20"/>
    </row>
    <row r="134" spans="6:44">
      <c r="K134" s="224" t="s">
        <v>4509</v>
      </c>
      <c r="P134" t="s">
        <v>25</v>
      </c>
      <c r="R134" s="167"/>
      <c r="S134" s="206" t="s">
        <v>6952</v>
      </c>
      <c r="T134" s="206">
        <f>T112-1117</f>
        <v>83</v>
      </c>
      <c r="U134" s="206" t="s">
        <v>6962</v>
      </c>
      <c r="V134" s="206">
        <v>1496</v>
      </c>
      <c r="W134" s="97">
        <f t="shared" si="50"/>
        <v>1613.9913643835619</v>
      </c>
      <c r="X134" s="32">
        <f t="shared" si="69"/>
        <v>1646.2711916712331</v>
      </c>
      <c r="Y134" s="32">
        <f t="shared" si="70"/>
        <v>1678.5510189589045</v>
      </c>
      <c r="Z134" s="431">
        <v>83166</v>
      </c>
      <c r="AA134" s="431"/>
      <c r="AB134" s="464"/>
      <c r="AI134" s="87">
        <v>114</v>
      </c>
      <c r="AJ134" s="88" t="s">
        <v>4593</v>
      </c>
      <c r="AK134" s="88">
        <v>13301790</v>
      </c>
      <c r="AL134" s="87">
        <v>0</v>
      </c>
      <c r="AM134" s="87">
        <f t="shared" si="71"/>
        <v>945</v>
      </c>
      <c r="AN134" s="88">
        <f t="shared" si="64"/>
        <v>12570191550</v>
      </c>
      <c r="AO134" s="87" t="s">
        <v>4594</v>
      </c>
      <c r="AR134" t="s">
        <v>25</v>
      </c>
    </row>
    <row r="135" spans="6:44">
      <c r="R135" s="167"/>
      <c r="S135" s="206" t="s">
        <v>6971</v>
      </c>
      <c r="T135" s="206">
        <f>T112-1134</f>
        <v>66</v>
      </c>
      <c r="U135" s="206" t="s">
        <v>6972</v>
      </c>
      <c r="V135" s="206">
        <v>1495</v>
      </c>
      <c r="W135" s="97">
        <f t="shared" si="50"/>
        <v>1593.4160547945207</v>
      </c>
      <c r="X135" s="32">
        <f t="shared" ref="X135:X149" si="72">W135*(1+$X$19/100)</f>
        <v>1625.2843758904112</v>
      </c>
      <c r="Y135" s="32">
        <f t="shared" ref="Y135:Y149" si="73">W135*(1+$Y$19/100)</f>
        <v>1657.1526969863016</v>
      </c>
      <c r="Z135" s="438">
        <v>50661</v>
      </c>
      <c r="AA135" s="438"/>
      <c r="AB135" s="438"/>
      <c r="AD135" t="s">
        <v>25</v>
      </c>
      <c r="AI135" s="20">
        <v>115</v>
      </c>
      <c r="AJ135" s="115" t="s">
        <v>4593</v>
      </c>
      <c r="AK135" s="115">
        <v>404000</v>
      </c>
      <c r="AL135" s="20">
        <v>5</v>
      </c>
      <c r="AM135" s="97">
        <f t="shared" si="71"/>
        <v>945</v>
      </c>
      <c r="AN135" s="115">
        <f t="shared" si="64"/>
        <v>381780000</v>
      </c>
      <c r="AO135" s="20" t="s">
        <v>4600</v>
      </c>
    </row>
    <row r="136" spans="6:44">
      <c r="R136" s="167"/>
      <c r="S136" s="206" t="s">
        <v>6974</v>
      </c>
      <c r="T136" s="206">
        <f>T112-1135</f>
        <v>65</v>
      </c>
      <c r="U136" s="206" t="s">
        <v>7069</v>
      </c>
      <c r="V136" s="206">
        <v>1439</v>
      </c>
      <c r="W136" s="97">
        <f t="shared" si="50"/>
        <v>1532.6256767123291</v>
      </c>
      <c r="X136" s="32">
        <f t="shared" si="72"/>
        <v>1563.2781902465756</v>
      </c>
      <c r="Y136" s="32">
        <f t="shared" si="73"/>
        <v>1593.9307037808223</v>
      </c>
      <c r="Z136" s="438">
        <v>50767</v>
      </c>
      <c r="AA136" s="438"/>
      <c r="AB136" s="438"/>
      <c r="AI136" s="87">
        <v>116</v>
      </c>
      <c r="AJ136" s="88" t="s">
        <v>4606</v>
      </c>
      <c r="AK136" s="88">
        <v>4291628</v>
      </c>
      <c r="AL136" s="87">
        <v>2</v>
      </c>
      <c r="AM136" s="87">
        <f t="shared" si="71"/>
        <v>940</v>
      </c>
      <c r="AN136" s="88">
        <f t="shared" si="64"/>
        <v>4034130320</v>
      </c>
      <c r="AO136" s="87" t="s">
        <v>4607</v>
      </c>
    </row>
    <row r="137" spans="6:44">
      <c r="R137" s="167"/>
      <c r="S137" s="206" t="s">
        <v>7062</v>
      </c>
      <c r="T137" s="206">
        <f>T112-1166</f>
        <v>34</v>
      </c>
      <c r="U137" s="206" t="s">
        <v>7122</v>
      </c>
      <c r="V137" s="206">
        <v>432.8</v>
      </c>
      <c r="W137" s="97">
        <f t="shared" si="50"/>
        <v>450.66693260273973</v>
      </c>
      <c r="X137" s="32">
        <f t="shared" si="72"/>
        <v>459.68027125479455</v>
      </c>
      <c r="Y137" s="32">
        <f t="shared" si="73"/>
        <v>468.69360990684936</v>
      </c>
      <c r="Z137" s="465"/>
      <c r="AA137" s="465"/>
      <c r="AB137" s="465">
        <v>65415</v>
      </c>
      <c r="AD137" t="s">
        <v>25</v>
      </c>
      <c r="AI137" s="20">
        <v>117</v>
      </c>
      <c r="AJ137" s="115" t="s">
        <v>4609</v>
      </c>
      <c r="AK137" s="115">
        <v>1000</v>
      </c>
      <c r="AL137" s="20">
        <v>5</v>
      </c>
      <c r="AM137" s="20">
        <f t="shared" si="71"/>
        <v>938</v>
      </c>
      <c r="AN137" s="115">
        <f t="shared" si="64"/>
        <v>938000</v>
      </c>
      <c r="AO137" s="20"/>
    </row>
    <row r="138" spans="6:44">
      <c r="G138" s="32" t="s">
        <v>4216</v>
      </c>
      <c r="H138" s="32"/>
      <c r="I138" s="32" t="s">
        <v>4358</v>
      </c>
      <c r="K138" s="94"/>
      <c r="L138" s="94"/>
      <c r="M138" s="94"/>
      <c r="R138" s="167"/>
      <c r="S138" s="206" t="s">
        <v>7073</v>
      </c>
      <c r="T138" s="206">
        <f>T112-1183</f>
        <v>17</v>
      </c>
      <c r="U138" s="206" t="s">
        <v>7074</v>
      </c>
      <c r="V138" s="206">
        <v>1427</v>
      </c>
      <c r="W138" s="97">
        <f t="shared" si="50"/>
        <v>1467.3000438356166</v>
      </c>
      <c r="X138" s="32">
        <f t="shared" si="72"/>
        <v>1496.6460447123291</v>
      </c>
      <c r="Y138" s="32">
        <f t="shared" si="73"/>
        <v>1525.9920455890413</v>
      </c>
      <c r="Z138" s="469">
        <v>9610</v>
      </c>
      <c r="AA138" s="469"/>
      <c r="AB138" s="469"/>
      <c r="AI138" s="119">
        <v>118</v>
      </c>
      <c r="AJ138" s="77" t="s">
        <v>4617</v>
      </c>
      <c r="AK138" s="77">
        <v>8739459</v>
      </c>
      <c r="AL138" s="119">
        <v>2</v>
      </c>
      <c r="AM138" s="119">
        <f t="shared" si="71"/>
        <v>933</v>
      </c>
      <c r="AN138" s="77">
        <f t="shared" si="64"/>
        <v>8153915247</v>
      </c>
      <c r="AO138" s="119" t="s">
        <v>4581</v>
      </c>
    </row>
    <row r="139" spans="6:44">
      <c r="G139" s="32">
        <f>O28+O36+O51</f>
        <v>5978464</v>
      </c>
      <c r="H139" s="32" t="s">
        <v>5432</v>
      </c>
      <c r="I139" s="32">
        <f>O50</f>
        <v>0</v>
      </c>
      <c r="J139" s="112"/>
      <c r="K139" s="94"/>
      <c r="L139" s="94"/>
      <c r="M139" s="94"/>
      <c r="R139" s="167"/>
      <c r="S139" s="206" t="s">
        <v>7076</v>
      </c>
      <c r="T139" s="206">
        <f>T112-1184</f>
        <v>16</v>
      </c>
      <c r="U139" s="206" t="s">
        <v>7077</v>
      </c>
      <c r="V139" s="206">
        <v>1426</v>
      </c>
      <c r="W139" s="97">
        <f t="shared" si="50"/>
        <v>1465.1778849315069</v>
      </c>
      <c r="X139" s="32">
        <f t="shared" si="72"/>
        <v>1494.4814426301371</v>
      </c>
      <c r="Y139" s="32">
        <f t="shared" si="73"/>
        <v>1523.7850003287672</v>
      </c>
      <c r="Z139" s="469">
        <v>27157</v>
      </c>
      <c r="AA139" s="469"/>
      <c r="AB139" s="469"/>
      <c r="AI139" s="119">
        <v>119</v>
      </c>
      <c r="AJ139" s="77" t="s">
        <v>4618</v>
      </c>
      <c r="AK139" s="77">
        <v>17595278</v>
      </c>
      <c r="AL139" s="119">
        <v>1</v>
      </c>
      <c r="AM139" s="119">
        <f t="shared" si="71"/>
        <v>931</v>
      </c>
      <c r="AN139" s="77">
        <f t="shared" si="64"/>
        <v>16381203818</v>
      </c>
      <c r="AO139" s="119" t="s">
        <v>4620</v>
      </c>
      <c r="AR139" t="s">
        <v>25</v>
      </c>
    </row>
    <row r="140" spans="6:44">
      <c r="G140" s="32">
        <f>(N29+N31+N35+N49+N50+N30+N52+N54)/P51</f>
        <v>1637389.3507649514</v>
      </c>
      <c r="H140" s="276" t="s">
        <v>5433</v>
      </c>
      <c r="I140" s="32">
        <f>(N51+N49+N36+N31+N28+N29+N30+N35+N52+N54)/P50</f>
        <v>393942.34238848917</v>
      </c>
      <c r="J140" s="112"/>
      <c r="K140" s="94"/>
      <c r="L140" s="94" t="s">
        <v>25</v>
      </c>
      <c r="M140" s="94"/>
      <c r="R140" s="167"/>
      <c r="S140" s="206" t="s">
        <v>7091</v>
      </c>
      <c r="T140" s="206">
        <f>T112-1191</f>
        <v>9</v>
      </c>
      <c r="U140" s="206" t="s">
        <v>7090</v>
      </c>
      <c r="V140" s="206">
        <v>1542</v>
      </c>
      <c r="W140" s="97">
        <f t="shared" si="50"/>
        <v>1576.0845369863016</v>
      </c>
      <c r="X140" s="32">
        <f t="shared" si="72"/>
        <v>1607.6062277260276</v>
      </c>
      <c r="Y140" s="32">
        <f t="shared" si="73"/>
        <v>1639.1279184657537</v>
      </c>
      <c r="Z140" s="473">
        <v>1782</v>
      </c>
      <c r="AA140" s="473"/>
      <c r="AB140" s="473"/>
      <c r="AI140" s="119">
        <v>120</v>
      </c>
      <c r="AJ140" s="77" t="s">
        <v>4619</v>
      </c>
      <c r="AK140" s="77">
        <v>13335309</v>
      </c>
      <c r="AL140" s="119">
        <v>13</v>
      </c>
      <c r="AM140" s="119">
        <f t="shared" si="71"/>
        <v>930</v>
      </c>
      <c r="AN140" s="77">
        <f t="shared" si="64"/>
        <v>12401837370</v>
      </c>
      <c r="AO140" s="119" t="s">
        <v>4594</v>
      </c>
    </row>
    <row r="141" spans="6:44">
      <c r="G141" s="32">
        <f>G139+G140</f>
        <v>7615853.3507649517</v>
      </c>
      <c r="H141" s="32" t="s">
        <v>5434</v>
      </c>
      <c r="I141" s="32">
        <f>I139+I140</f>
        <v>393942.34238848917</v>
      </c>
      <c r="J141" s="112"/>
      <c r="K141" s="94"/>
      <c r="L141" s="94"/>
      <c r="N141" s="94"/>
      <c r="P141" t="s">
        <v>25</v>
      </c>
      <c r="R141" s="167"/>
      <c r="S141" s="206" t="s">
        <v>7096</v>
      </c>
      <c r="T141" s="206">
        <f>T112-1193</f>
        <v>7</v>
      </c>
      <c r="U141" s="206" t="s">
        <v>7097</v>
      </c>
      <c r="V141" s="206">
        <v>1510</v>
      </c>
      <c r="W141" s="97">
        <f t="shared" si="50"/>
        <v>1541.0604931506853</v>
      </c>
      <c r="X141" s="32">
        <f t="shared" si="72"/>
        <v>1571.8817030136991</v>
      </c>
      <c r="Y141" s="32">
        <f t="shared" si="73"/>
        <v>1602.7029128767126</v>
      </c>
      <c r="Z141" s="475">
        <v>7126</v>
      </c>
      <c r="AA141" s="475"/>
      <c r="AB141" s="475"/>
      <c r="AC141" t="s">
        <v>25</v>
      </c>
      <c r="AI141" s="159">
        <v>121</v>
      </c>
      <c r="AJ141" s="216" t="s">
        <v>4669</v>
      </c>
      <c r="AK141" s="216">
        <v>50000000</v>
      </c>
      <c r="AL141" s="159">
        <v>11</v>
      </c>
      <c r="AM141" s="159">
        <f t="shared" si="71"/>
        <v>917</v>
      </c>
      <c r="AN141" s="216">
        <f t="shared" si="64"/>
        <v>45850000000</v>
      </c>
      <c r="AO141" s="159" t="s">
        <v>4670</v>
      </c>
      <c r="AQ141" t="s">
        <v>25</v>
      </c>
    </row>
    <row r="142" spans="6:44">
      <c r="G142" s="32">
        <f>(X161+X162)/P51</f>
        <v>370731.7121451649</v>
      </c>
      <c r="H142" s="32" t="s">
        <v>5414</v>
      </c>
      <c r="I142" s="32">
        <f>(X161+X162)/P50</f>
        <v>19176.697915998098</v>
      </c>
      <c r="J142" s="112"/>
      <c r="K142" s="94"/>
      <c r="L142" s="94"/>
      <c r="M142" s="94"/>
      <c r="N142" s="94"/>
      <c r="O142" s="94"/>
      <c r="R142" s="167"/>
      <c r="S142" s="206" t="s">
        <v>7107</v>
      </c>
      <c r="T142" s="206">
        <f>T112-1196</f>
        <v>4</v>
      </c>
      <c r="U142" s="206" t="s">
        <v>7109</v>
      </c>
      <c r="V142" s="206">
        <v>1470</v>
      </c>
      <c r="W142" s="97">
        <f t="shared" si="50"/>
        <v>1496.8546849315071</v>
      </c>
      <c r="X142" s="32">
        <f t="shared" si="72"/>
        <v>1526.7917786301373</v>
      </c>
      <c r="Y142" s="32">
        <f t="shared" si="73"/>
        <v>1556.7288723287675</v>
      </c>
      <c r="Z142" s="475">
        <v>14990</v>
      </c>
      <c r="AA142" s="475"/>
      <c r="AB142" s="475"/>
      <c r="AI142" s="20">
        <v>122</v>
      </c>
      <c r="AJ142" s="115" t="s">
        <v>957</v>
      </c>
      <c r="AK142" s="115">
        <v>30000</v>
      </c>
      <c r="AL142" s="20">
        <v>3</v>
      </c>
      <c r="AM142" s="20">
        <f t="shared" si="71"/>
        <v>906</v>
      </c>
      <c r="AN142" s="115">
        <f t="shared" si="64"/>
        <v>27180000</v>
      </c>
      <c r="AO142" s="20"/>
    </row>
    <row r="143" spans="6:44">
      <c r="G143" s="32">
        <f>X159/P51</f>
        <v>2628752.3412105031</v>
      </c>
      <c r="H143" s="32" t="s">
        <v>480</v>
      </c>
      <c r="I143" s="32">
        <f>X159/P50</f>
        <v>135976.47002376631</v>
      </c>
      <c r="J143" s="112"/>
      <c r="K143" s="94"/>
      <c r="L143" s="94"/>
      <c r="N143" s="94"/>
      <c r="R143" s="167"/>
      <c r="S143" s="206" t="s">
        <v>7110</v>
      </c>
      <c r="T143" s="206">
        <f>T112-1197</f>
        <v>3</v>
      </c>
      <c r="U143" s="206" t="s">
        <v>7111</v>
      </c>
      <c r="V143" s="206">
        <v>1480</v>
      </c>
      <c r="W143" s="97">
        <f t="shared" si="50"/>
        <v>1505.9020273972603</v>
      </c>
      <c r="X143" s="32">
        <f t="shared" si="72"/>
        <v>1536.0200679452055</v>
      </c>
      <c r="Y143" s="32">
        <f t="shared" si="73"/>
        <v>1566.1381084931509</v>
      </c>
      <c r="Z143" s="482">
        <v>27434</v>
      </c>
      <c r="AA143" s="482"/>
      <c r="AB143" s="482"/>
      <c r="AI143" s="20">
        <v>123</v>
      </c>
      <c r="AJ143" s="115" t="s">
        <v>4725</v>
      </c>
      <c r="AK143" s="115">
        <v>600000</v>
      </c>
      <c r="AL143" s="20">
        <v>1</v>
      </c>
      <c r="AM143" s="20">
        <f t="shared" si="71"/>
        <v>903</v>
      </c>
      <c r="AN143" s="115">
        <f t="shared" si="64"/>
        <v>541800000</v>
      </c>
      <c r="AO143" s="20"/>
    </row>
    <row r="144" spans="6:44">
      <c r="G144" s="32">
        <f>G141-G142-G143</f>
        <v>4616369.2974092839</v>
      </c>
      <c r="H144" s="32" t="s">
        <v>5</v>
      </c>
      <c r="I144" s="32">
        <f>I141-I142-I143</f>
        <v>238789.17444872475</v>
      </c>
      <c r="J144" s="112"/>
      <c r="K144" s="94"/>
      <c r="L144" s="94"/>
      <c r="M144" t="s">
        <v>25</v>
      </c>
      <c r="N144" s="94"/>
      <c r="R144" s="167"/>
      <c r="S144" s="206" t="s">
        <v>7112</v>
      </c>
      <c r="T144" s="206">
        <f>T112-1199</f>
        <v>1</v>
      </c>
      <c r="U144" s="206" t="s">
        <v>7114</v>
      </c>
      <c r="V144" s="206">
        <v>1451</v>
      </c>
      <c r="W144" s="97">
        <f t="shared" si="50"/>
        <v>1474.1682958904109</v>
      </c>
      <c r="X144" s="32">
        <f t="shared" si="72"/>
        <v>1503.6516618082192</v>
      </c>
      <c r="Y144" s="32">
        <f t="shared" si="73"/>
        <v>1533.1350277260274</v>
      </c>
      <c r="Z144" s="482">
        <v>20346</v>
      </c>
      <c r="AA144" s="482"/>
      <c r="AB144" s="482"/>
      <c r="AI144" s="20">
        <v>124</v>
      </c>
      <c r="AJ144" s="115" t="s">
        <v>4728</v>
      </c>
      <c r="AK144" s="115">
        <v>30000</v>
      </c>
      <c r="AL144" s="20">
        <v>3</v>
      </c>
      <c r="AM144" s="20">
        <f t="shared" si="71"/>
        <v>902</v>
      </c>
      <c r="AN144" s="115">
        <f t="shared" si="64"/>
        <v>27060000</v>
      </c>
      <c r="AO144" s="20"/>
    </row>
    <row r="145" spans="5:45">
      <c r="N145" s="94"/>
      <c r="P145" t="s">
        <v>25</v>
      </c>
      <c r="R145" s="167"/>
      <c r="S145" s="206" t="s">
        <v>7116</v>
      </c>
      <c r="T145" s="206">
        <f>T112-1200</f>
        <v>0</v>
      </c>
      <c r="U145" s="206" t="s">
        <v>7119</v>
      </c>
      <c r="V145" s="206">
        <v>1445</v>
      </c>
      <c r="W145" s="97">
        <f t="shared" si="50"/>
        <v>1466.9640000000002</v>
      </c>
      <c r="X145" s="32">
        <f t="shared" si="72"/>
        <v>1496.3032800000001</v>
      </c>
      <c r="Y145" s="32">
        <f t="shared" si="73"/>
        <v>1525.6425600000002</v>
      </c>
      <c r="Z145" s="482">
        <v>120744</v>
      </c>
      <c r="AA145" s="482"/>
      <c r="AB145" s="482"/>
      <c r="AC145" t="s">
        <v>25</v>
      </c>
      <c r="AI145" s="20">
        <v>125</v>
      </c>
      <c r="AJ145" s="115" t="s">
        <v>4734</v>
      </c>
      <c r="AK145" s="115">
        <v>2250000</v>
      </c>
      <c r="AL145" s="20">
        <v>1</v>
      </c>
      <c r="AM145" s="20">
        <f t="shared" si="71"/>
        <v>899</v>
      </c>
      <c r="AN145" s="115">
        <f>AK145*AM145</f>
        <v>2022750000</v>
      </c>
      <c r="AO145" s="20"/>
      <c r="AS145" t="s">
        <v>25</v>
      </c>
    </row>
    <row r="146" spans="5:45">
      <c r="N146" s="94"/>
      <c r="Q146" s="112"/>
      <c r="R146" s="167"/>
      <c r="S146" s="206" t="s">
        <v>7120</v>
      </c>
      <c r="T146" s="206">
        <f>T112-1203</f>
        <v>-3</v>
      </c>
      <c r="U146" s="206" t="s">
        <v>7121</v>
      </c>
      <c r="V146" s="206">
        <v>1440</v>
      </c>
      <c r="W146" s="97">
        <f t="shared" si="50"/>
        <v>1458.5740273972606</v>
      </c>
      <c r="X146" s="32">
        <f t="shared" si="72"/>
        <v>1487.7455079452059</v>
      </c>
      <c r="Y146" s="32">
        <f t="shared" si="73"/>
        <v>1516.9169884931512</v>
      </c>
      <c r="Z146" s="484">
        <v>5656</v>
      </c>
      <c r="AA146" s="484"/>
      <c r="AB146" s="484"/>
      <c r="AC146" s="94"/>
      <c r="AI146" s="23">
        <v>126</v>
      </c>
      <c r="AJ146" s="35" t="s">
        <v>4739</v>
      </c>
      <c r="AK146" s="35">
        <v>-31412200</v>
      </c>
      <c r="AL146" s="23">
        <v>1</v>
      </c>
      <c r="AM146" s="20">
        <f t="shared" si="71"/>
        <v>898</v>
      </c>
      <c r="AN146" s="35">
        <f>AK146*AM146</f>
        <v>-28208155600</v>
      </c>
      <c r="AO146" s="23" t="s">
        <v>4727</v>
      </c>
    </row>
    <row r="147" spans="5:45">
      <c r="K147" s="94"/>
      <c r="L147" s="94"/>
      <c r="R147" s="167"/>
      <c r="S147" s="206"/>
      <c r="T147" s="206"/>
      <c r="U147" s="206"/>
      <c r="V147" s="206"/>
      <c r="W147" s="97"/>
      <c r="X147" s="32"/>
      <c r="Y147" s="32"/>
      <c r="Z147" s="484"/>
      <c r="AA147" s="484"/>
      <c r="AB147" s="484"/>
      <c r="AC147" s="94"/>
      <c r="AI147" s="20">
        <v>127</v>
      </c>
      <c r="AJ147" s="115" t="s">
        <v>4748</v>
      </c>
      <c r="AK147" s="115">
        <v>70000</v>
      </c>
      <c r="AL147" s="20">
        <v>9</v>
      </c>
      <c r="AM147" s="20">
        <f t="shared" si="71"/>
        <v>897</v>
      </c>
      <c r="AN147" s="115">
        <f>AK147*AM147</f>
        <v>62790000</v>
      </c>
      <c r="AO147" s="20"/>
    </row>
    <row r="148" spans="5:45">
      <c r="R148" s="167"/>
      <c r="S148" s="206"/>
      <c r="T148" s="206"/>
      <c r="U148" s="206"/>
      <c r="V148" s="206"/>
      <c r="W148" s="97"/>
      <c r="X148" s="32"/>
      <c r="Y148" s="32"/>
      <c r="Z148" s="473"/>
      <c r="AA148" s="473"/>
      <c r="AB148" s="473"/>
      <c r="AC148" t="s">
        <v>25</v>
      </c>
      <c r="AI148" s="97">
        <v>128</v>
      </c>
      <c r="AJ148" s="111" t="s">
        <v>4754</v>
      </c>
      <c r="AK148" s="111">
        <v>20000</v>
      </c>
      <c r="AL148" s="97">
        <v>10</v>
      </c>
      <c r="AM148" s="20">
        <f t="shared" si="71"/>
        <v>888</v>
      </c>
      <c r="AN148" s="115">
        <f>AK148*AM148</f>
        <v>17760000</v>
      </c>
      <c r="AO148" s="20"/>
      <c r="AQ148" t="s">
        <v>25</v>
      </c>
    </row>
    <row r="149" spans="5:45">
      <c r="G149" s="32" t="s">
        <v>180</v>
      </c>
      <c r="H149" s="32" t="s">
        <v>5435</v>
      </c>
      <c r="I149" s="206" t="s">
        <v>5436</v>
      </c>
      <c r="J149" s="206" t="s">
        <v>5437</v>
      </c>
      <c r="K149" s="32" t="s">
        <v>5438</v>
      </c>
      <c r="L149" s="97" t="s">
        <v>5452</v>
      </c>
      <c r="M149" s="97" t="s">
        <v>5453</v>
      </c>
      <c r="P149" s="112"/>
      <c r="R149" s="167"/>
      <c r="S149" s="206"/>
      <c r="T149" s="206" t="s">
        <v>25</v>
      </c>
      <c r="U149" s="206" t="s">
        <v>25</v>
      </c>
      <c r="V149" s="206"/>
      <c r="W149" s="97" t="e">
        <f>V149*(1+$S$108+$R$15*T149/36500)</f>
        <v>#VALUE!</v>
      </c>
      <c r="X149" s="32" t="e">
        <f t="shared" si="72"/>
        <v>#VALUE!</v>
      </c>
      <c r="Y149" s="32" t="e">
        <f t="shared" si="73"/>
        <v>#VALUE!</v>
      </c>
      <c r="Z149" s="94"/>
      <c r="AA149" s="94" t="s">
        <v>25</v>
      </c>
      <c r="AB149" s="352"/>
      <c r="AI149" s="97">
        <v>129</v>
      </c>
      <c r="AJ149" s="111" t="s">
        <v>4774</v>
      </c>
      <c r="AK149" s="111">
        <v>1000000</v>
      </c>
      <c r="AL149" s="97">
        <v>1</v>
      </c>
      <c r="AM149" s="20">
        <f t="shared" si="71"/>
        <v>878</v>
      </c>
      <c r="AN149" s="115">
        <f>AK149*AM149</f>
        <v>878000000</v>
      </c>
      <c r="AO149" s="20"/>
    </row>
    <row r="150" spans="5:45">
      <c r="E150" s="121"/>
      <c r="G150" s="32" t="s">
        <v>5427</v>
      </c>
      <c r="H150" s="32">
        <v>3256760</v>
      </c>
      <c r="I150" s="206">
        <v>245992</v>
      </c>
      <c r="J150" s="206">
        <v>2544443</v>
      </c>
      <c r="K150" s="32">
        <v>192693</v>
      </c>
      <c r="L150" s="97">
        <f t="shared" ref="L150:L159" si="74">H150+J150</f>
        <v>5801203</v>
      </c>
      <c r="M150" s="97">
        <f t="shared" ref="M150:M159" si="75">I150+K150</f>
        <v>438685</v>
      </c>
      <c r="O150" s="94"/>
      <c r="R150" s="167"/>
      <c r="S150" s="166"/>
      <c r="T150" s="166"/>
      <c r="U150" s="166" t="s">
        <v>25</v>
      </c>
      <c r="V150" s="166"/>
      <c r="W150" s="97">
        <f>V150*(1+$S$108+$R$15*T150/36500)</f>
        <v>0</v>
      </c>
      <c r="X150" s="32">
        <f t="shared" si="69"/>
        <v>0</v>
      </c>
      <c r="Y150" s="32">
        <f t="shared" si="70"/>
        <v>0</v>
      </c>
      <c r="Z150" t="s">
        <v>25</v>
      </c>
      <c r="AA150" t="s">
        <v>25</v>
      </c>
      <c r="AB150" s="94" t="s">
        <v>25</v>
      </c>
      <c r="AD150" s="112" t="s">
        <v>25</v>
      </c>
      <c r="AE150" s="112"/>
      <c r="AI150" s="97">
        <v>130</v>
      </c>
      <c r="AJ150" s="111" t="s">
        <v>4775</v>
      </c>
      <c r="AK150" s="111">
        <v>65630227</v>
      </c>
      <c r="AL150" s="97">
        <v>0</v>
      </c>
      <c r="AM150" s="20">
        <f t="shared" si="71"/>
        <v>877</v>
      </c>
      <c r="AN150" s="115">
        <f t="shared" ref="AN150:AN177" si="76">AK150*AM150</f>
        <v>57557709079</v>
      </c>
      <c r="AO150" s="20" t="s">
        <v>4778</v>
      </c>
      <c r="AQ150" t="s">
        <v>25</v>
      </c>
      <c r="AS150" t="s">
        <v>25</v>
      </c>
    </row>
    <row r="151" spans="5:45">
      <c r="G151" s="32" t="s">
        <v>5439</v>
      </c>
      <c r="H151" s="32">
        <v>3245022</v>
      </c>
      <c r="I151" s="206">
        <v>249261</v>
      </c>
      <c r="J151" s="206">
        <v>2532877</v>
      </c>
      <c r="K151" s="32">
        <v>195062</v>
      </c>
      <c r="L151" s="97">
        <f t="shared" si="74"/>
        <v>5777899</v>
      </c>
      <c r="M151" s="97">
        <f t="shared" si="75"/>
        <v>444323</v>
      </c>
      <c r="O151" s="94"/>
      <c r="R151" s="111">
        <f>SUM(N49:N56)-SUM(R112:R150)</f>
        <v>4711291626.1686707</v>
      </c>
      <c r="S151" s="110"/>
      <c r="T151" s="110"/>
      <c r="U151" s="110"/>
      <c r="V151" s="166"/>
      <c r="W151" s="97" t="s">
        <v>25</v>
      </c>
      <c r="X151" s="32"/>
      <c r="Y151" s="32"/>
      <c r="Z151" t="s">
        <v>25</v>
      </c>
      <c r="AA151" t="s">
        <v>25</v>
      </c>
      <c r="AB151" s="94" t="s">
        <v>25</v>
      </c>
      <c r="AD151" s="112"/>
      <c r="AI151" s="97">
        <v>131</v>
      </c>
      <c r="AJ151" s="111" t="s">
        <v>4775</v>
      </c>
      <c r="AK151" s="111">
        <v>-3500000</v>
      </c>
      <c r="AL151" s="97">
        <v>6</v>
      </c>
      <c r="AM151" s="20">
        <f t="shared" si="71"/>
        <v>877</v>
      </c>
      <c r="AN151" s="115">
        <f t="shared" si="76"/>
        <v>-3069500000</v>
      </c>
      <c r="AO151" s="20" t="s">
        <v>4777</v>
      </c>
    </row>
    <row r="152" spans="5:45">
      <c r="G152" s="32" t="s">
        <v>5440</v>
      </c>
      <c r="H152" s="32"/>
      <c r="I152" s="206"/>
      <c r="J152" s="206"/>
      <c r="K152" s="32"/>
      <c r="L152" s="97">
        <f t="shared" si="74"/>
        <v>0</v>
      </c>
      <c r="M152" s="97">
        <f t="shared" si="75"/>
        <v>0</v>
      </c>
      <c r="O152" s="94"/>
      <c r="Q152" s="112"/>
      <c r="R152" s="26"/>
      <c r="S152" s="179"/>
      <c r="T152" s="179"/>
      <c r="U152" t="s">
        <v>25</v>
      </c>
      <c r="V152" s="94" t="s">
        <v>25</v>
      </c>
      <c r="W152" s="94" t="s">
        <v>25</v>
      </c>
      <c r="X152" s="94" t="s">
        <v>25</v>
      </c>
      <c r="Z152" t="s">
        <v>25</v>
      </c>
      <c r="AA152" t="s">
        <v>25</v>
      </c>
      <c r="AB152" s="94" t="s">
        <v>25</v>
      </c>
      <c r="AD152" s="112"/>
      <c r="AE152" s="112"/>
      <c r="AI152" s="97">
        <v>132</v>
      </c>
      <c r="AJ152" s="111" t="s">
        <v>4787</v>
      </c>
      <c r="AK152" s="111">
        <v>2520000</v>
      </c>
      <c r="AL152" s="97">
        <v>12</v>
      </c>
      <c r="AM152" s="20">
        <f t="shared" si="71"/>
        <v>871</v>
      </c>
      <c r="AN152" s="115">
        <f t="shared" si="76"/>
        <v>2194920000</v>
      </c>
      <c r="AO152" s="20"/>
    </row>
    <row r="153" spans="5:45">
      <c r="G153" s="32" t="s">
        <v>5441</v>
      </c>
      <c r="H153" s="32"/>
      <c r="I153" s="206"/>
      <c r="J153" s="206"/>
      <c r="K153" s="32"/>
      <c r="L153" s="97">
        <f t="shared" si="74"/>
        <v>0</v>
      </c>
      <c r="M153" s="97">
        <f t="shared" si="75"/>
        <v>0</v>
      </c>
      <c r="N153" s="94"/>
      <c r="O153" s="94"/>
      <c r="S153" s="32" t="s">
        <v>4511</v>
      </c>
      <c r="T153" s="32" t="s">
        <v>933</v>
      </c>
      <c r="U153" t="s">
        <v>25</v>
      </c>
      <c r="V153" s="94" t="s">
        <v>25</v>
      </c>
      <c r="W153" s="94" t="s">
        <v>25</v>
      </c>
      <c r="X153" s="94" t="s">
        <v>25</v>
      </c>
      <c r="Y153" s="120" t="s">
        <v>25</v>
      </c>
      <c r="Z153" t="s">
        <v>25</v>
      </c>
      <c r="AA153" t="s">
        <v>25</v>
      </c>
      <c r="AB153" s="94" t="s">
        <v>25</v>
      </c>
      <c r="AI153" s="97">
        <v>133</v>
      </c>
      <c r="AJ153" s="111" t="s">
        <v>4822</v>
      </c>
      <c r="AK153" s="111">
        <v>1400000</v>
      </c>
      <c r="AL153" s="97">
        <v>4</v>
      </c>
      <c r="AM153" s="20">
        <f t="shared" si="71"/>
        <v>859</v>
      </c>
      <c r="AN153" s="115">
        <f t="shared" si="76"/>
        <v>1202600000</v>
      </c>
      <c r="AO153" s="20"/>
    </row>
    <row r="154" spans="5:45">
      <c r="G154" s="32" t="s">
        <v>5458</v>
      </c>
      <c r="H154" s="32">
        <v>3270584</v>
      </c>
      <c r="I154" s="206">
        <v>250916</v>
      </c>
      <c r="J154" s="206">
        <v>2496979</v>
      </c>
      <c r="K154" s="32">
        <v>203160</v>
      </c>
      <c r="L154" s="97">
        <f t="shared" si="74"/>
        <v>5767563</v>
      </c>
      <c r="M154" s="97">
        <f t="shared" si="75"/>
        <v>454076</v>
      </c>
      <c r="N154" s="94"/>
      <c r="O154" s="94"/>
      <c r="Q154" s="112"/>
      <c r="S154" s="32">
        <v>33288</v>
      </c>
      <c r="T154" s="167">
        <v>152128600.70081395</v>
      </c>
      <c r="U154" t="s">
        <v>25</v>
      </c>
      <c r="V154" s="94" t="s">
        <v>25</v>
      </c>
      <c r="W154" s="120" t="s">
        <v>25</v>
      </c>
      <c r="X154" s="94" t="s">
        <v>25</v>
      </c>
      <c r="Y154" t="s">
        <v>25</v>
      </c>
      <c r="Z154" t="s">
        <v>25</v>
      </c>
      <c r="AA154" t="s">
        <v>25</v>
      </c>
      <c r="AB154" t="s">
        <v>25</v>
      </c>
      <c r="AI154" s="97">
        <v>134</v>
      </c>
      <c r="AJ154" s="111" t="s">
        <v>4838</v>
      </c>
      <c r="AK154" s="111">
        <v>1550000</v>
      </c>
      <c r="AL154" s="97">
        <v>2</v>
      </c>
      <c r="AM154" s="20">
        <f t="shared" si="71"/>
        <v>855</v>
      </c>
      <c r="AN154" s="115">
        <f t="shared" si="76"/>
        <v>1325250000</v>
      </c>
      <c r="AO154" s="20"/>
    </row>
    <row r="155" spans="5:45">
      <c r="G155" s="32" t="s">
        <v>5459</v>
      </c>
      <c r="H155" s="32">
        <v>3225584</v>
      </c>
      <c r="I155" s="206">
        <v>260042</v>
      </c>
      <c r="J155" s="206">
        <v>2466124</v>
      </c>
      <c r="K155" s="32">
        <v>210439</v>
      </c>
      <c r="L155" s="97">
        <f t="shared" si="74"/>
        <v>5691708</v>
      </c>
      <c r="M155" s="97">
        <f t="shared" si="75"/>
        <v>470481</v>
      </c>
      <c r="N155" s="94"/>
      <c r="O155" s="94"/>
      <c r="P155" s="112"/>
      <c r="R155" t="s">
        <v>25</v>
      </c>
      <c r="S155" s="32">
        <v>9243</v>
      </c>
      <c r="T155" s="1">
        <f>T154*S155/S154</f>
        <v>42241187.7036056</v>
      </c>
      <c r="U155" s="112" t="s">
        <v>25</v>
      </c>
      <c r="V155" s="94" t="s">
        <v>25</v>
      </c>
      <c r="W155" s="120" t="s">
        <v>25</v>
      </c>
      <c r="X155" s="94" t="s">
        <v>25</v>
      </c>
      <c r="Y155" t="s">
        <v>25</v>
      </c>
      <c r="Z155" t="s">
        <v>25</v>
      </c>
      <c r="AA155" t="s">
        <v>25</v>
      </c>
      <c r="AB155" t="s">
        <v>25</v>
      </c>
      <c r="AI155" s="97">
        <v>135</v>
      </c>
      <c r="AJ155" s="111" t="s">
        <v>4794</v>
      </c>
      <c r="AK155" s="111">
        <v>250000</v>
      </c>
      <c r="AL155" s="97">
        <v>6</v>
      </c>
      <c r="AM155" s="20">
        <f t="shared" si="71"/>
        <v>853</v>
      </c>
      <c r="AN155" s="115">
        <f t="shared" si="76"/>
        <v>213250000</v>
      </c>
      <c r="AO155" s="20"/>
    </row>
    <row r="156" spans="5:45">
      <c r="G156" s="32" t="s">
        <v>5460</v>
      </c>
      <c r="H156" s="32">
        <v>3271778</v>
      </c>
      <c r="I156" s="206">
        <v>282233</v>
      </c>
      <c r="J156" s="206">
        <v>2458563</v>
      </c>
      <c r="K156" s="32">
        <v>212082</v>
      </c>
      <c r="L156" s="97">
        <f t="shared" si="74"/>
        <v>5730341</v>
      </c>
      <c r="M156" s="97">
        <f t="shared" si="75"/>
        <v>494315</v>
      </c>
      <c r="N156" s="94"/>
      <c r="S156" s="32">
        <f>S154-S155</f>
        <v>24045</v>
      </c>
      <c r="T156" s="1">
        <f>S156*T154/S154</f>
        <v>109887412.99720834</v>
      </c>
      <c r="U156" t="s">
        <v>25</v>
      </c>
      <c r="V156" s="120" t="s">
        <v>25</v>
      </c>
      <c r="W156" s="94"/>
      <c r="X156" s="120" t="s">
        <v>25</v>
      </c>
      <c r="Y156" t="s">
        <v>25</v>
      </c>
      <c r="Z156" t="s">
        <v>25</v>
      </c>
      <c r="AA156" t="s">
        <v>25</v>
      </c>
      <c r="AB156" t="s">
        <v>25</v>
      </c>
      <c r="AI156" s="97">
        <v>136</v>
      </c>
      <c r="AJ156" s="111" t="s">
        <v>4847</v>
      </c>
      <c r="AK156" s="111">
        <v>-48527480</v>
      </c>
      <c r="AL156" s="97">
        <v>14</v>
      </c>
      <c r="AM156" s="20">
        <f t="shared" si="71"/>
        <v>847</v>
      </c>
      <c r="AN156" s="115">
        <f t="shared" si="76"/>
        <v>-41102775560</v>
      </c>
      <c r="AO156" s="20" t="s">
        <v>4849</v>
      </c>
    </row>
    <row r="157" spans="5:45">
      <c r="G157" s="32" t="s">
        <v>5466</v>
      </c>
      <c r="H157" s="32">
        <v>3298939</v>
      </c>
      <c r="I157" s="206">
        <v>281309</v>
      </c>
      <c r="J157" s="206">
        <v>2465538</v>
      </c>
      <c r="K157" s="32">
        <v>210242</v>
      </c>
      <c r="L157" s="97">
        <f t="shared" si="74"/>
        <v>5764477</v>
      </c>
      <c r="M157" s="97">
        <f t="shared" si="75"/>
        <v>491551</v>
      </c>
      <c r="N157" s="94"/>
      <c r="P157" s="112"/>
      <c r="U157" t="s">
        <v>25</v>
      </c>
      <c r="W157" s="94"/>
      <c r="X157"/>
      <c r="Y157" t="s">
        <v>25</v>
      </c>
      <c r="Z157" t="s">
        <v>25</v>
      </c>
      <c r="AA157" t="s">
        <v>25</v>
      </c>
      <c r="AB157" t="s">
        <v>25</v>
      </c>
      <c r="AI157" s="97">
        <v>137</v>
      </c>
      <c r="AJ157" s="111" t="s">
        <v>4869</v>
      </c>
      <c r="AK157" s="111">
        <v>2100000</v>
      </c>
      <c r="AL157" s="97">
        <v>1</v>
      </c>
      <c r="AM157" s="20">
        <f t="shared" si="71"/>
        <v>833</v>
      </c>
      <c r="AN157" s="115">
        <f t="shared" si="76"/>
        <v>1749300000</v>
      </c>
      <c r="AO157" s="20"/>
    </row>
    <row r="158" spans="5:45">
      <c r="G158" s="32" t="s">
        <v>5470</v>
      </c>
      <c r="H158" s="32">
        <v>3453903</v>
      </c>
      <c r="I158" s="206">
        <v>259725</v>
      </c>
      <c r="J158" s="206">
        <v>2541096</v>
      </c>
      <c r="K158" s="32">
        <v>191084</v>
      </c>
      <c r="L158" s="97">
        <f t="shared" si="74"/>
        <v>5994999</v>
      </c>
      <c r="M158" s="97">
        <f t="shared" si="75"/>
        <v>450809</v>
      </c>
      <c r="N158" s="94"/>
      <c r="P158" s="94"/>
      <c r="R158" s="94" t="s">
        <v>25</v>
      </c>
      <c r="S158" s="94"/>
      <c r="T158" s="94"/>
      <c r="U158" s="94"/>
      <c r="V158" s="279" t="s">
        <v>4405</v>
      </c>
      <c r="W158" s="279" t="s">
        <v>4418</v>
      </c>
      <c r="X158" s="279" t="s">
        <v>4419</v>
      </c>
      <c r="Y158" t="s">
        <v>25</v>
      </c>
      <c r="Z158" t="s">
        <v>25</v>
      </c>
      <c r="AB158" t="s">
        <v>25</v>
      </c>
      <c r="AI158" s="97">
        <v>138</v>
      </c>
      <c r="AJ158" s="111" t="s">
        <v>4872</v>
      </c>
      <c r="AK158" s="111">
        <v>100000</v>
      </c>
      <c r="AL158" s="97">
        <v>4</v>
      </c>
      <c r="AM158" s="20">
        <f>AM159+AL158</f>
        <v>832</v>
      </c>
      <c r="AN158" s="115">
        <f t="shared" si="76"/>
        <v>83200000</v>
      </c>
      <c r="AO158" s="20"/>
    </row>
    <row r="159" spans="5:45">
      <c r="G159" s="32" t="s">
        <v>6445</v>
      </c>
      <c r="H159" s="32">
        <v>4796613</v>
      </c>
      <c r="I159" s="206">
        <v>250296</v>
      </c>
      <c r="J159" s="206">
        <v>2687591</v>
      </c>
      <c r="K159" s="32">
        <v>140243</v>
      </c>
      <c r="L159" s="97">
        <f t="shared" si="74"/>
        <v>7484204</v>
      </c>
      <c r="M159" s="97">
        <f t="shared" si="75"/>
        <v>390539</v>
      </c>
      <c r="N159" s="94"/>
      <c r="Q159" s="112"/>
      <c r="R159" s="94"/>
      <c r="S159" s="94"/>
      <c r="T159" s="94"/>
      <c r="U159" s="120">
        <f>W160-W165</f>
        <v>2615607</v>
      </c>
      <c r="V159" s="279" t="s">
        <v>743</v>
      </c>
      <c r="W159" s="279">
        <v>1495942</v>
      </c>
      <c r="X159" s="88">
        <f>W159*$U$541</f>
        <v>3780145866.6607032</v>
      </c>
      <c r="Y159">
        <f>X159*100/$X$165</f>
        <v>34.608090972837374</v>
      </c>
      <c r="Z159" t="s">
        <v>25</v>
      </c>
      <c r="AA159" t="s">
        <v>25</v>
      </c>
      <c r="AB159" t="s">
        <v>25</v>
      </c>
      <c r="AI159" s="97">
        <v>139</v>
      </c>
      <c r="AJ159" s="111" t="s">
        <v>4877</v>
      </c>
      <c r="AK159" s="111">
        <v>900000</v>
      </c>
      <c r="AL159" s="97">
        <v>0</v>
      </c>
      <c r="AM159" s="20">
        <f t="shared" ref="AM159:AM168" si="77">AM160+AL159</f>
        <v>828</v>
      </c>
      <c r="AN159" s="115">
        <f t="shared" ref="AN159:AN168" si="78">AK159*AM159</f>
        <v>745200000</v>
      </c>
      <c r="AO159" s="20"/>
      <c r="AQ159" t="s">
        <v>25</v>
      </c>
    </row>
    <row r="160" spans="5:45">
      <c r="G160" s="32"/>
      <c r="H160" s="32"/>
      <c r="I160" s="206"/>
      <c r="J160" s="206"/>
      <c r="K160" s="32"/>
      <c r="L160" s="97"/>
      <c r="M160" s="97"/>
      <c r="Q160" s="112"/>
      <c r="R160" t="s">
        <v>25</v>
      </c>
      <c r="U160" s="120"/>
      <c r="V160" s="279" t="s">
        <v>4407</v>
      </c>
      <c r="W160" s="279">
        <v>2615607</v>
      </c>
      <c r="X160" s="88">
        <f>W160*$U$541</f>
        <v>6609464798.6745491</v>
      </c>
      <c r="Y160" s="94">
        <f>X160*100/$X$165</f>
        <v>60.511146157531684</v>
      </c>
      <c r="Z160" t="s">
        <v>25</v>
      </c>
      <c r="AA160" t="s">
        <v>25</v>
      </c>
      <c r="AB160" t="s">
        <v>25</v>
      </c>
      <c r="AI160" s="97">
        <v>140</v>
      </c>
      <c r="AJ160" s="111" t="s">
        <v>4877</v>
      </c>
      <c r="AK160" s="111">
        <v>1100000</v>
      </c>
      <c r="AL160" s="97">
        <v>0</v>
      </c>
      <c r="AM160" s="20">
        <f t="shared" si="77"/>
        <v>828</v>
      </c>
      <c r="AN160" s="115">
        <f t="shared" si="78"/>
        <v>910800000</v>
      </c>
      <c r="AO160" s="20" t="s">
        <v>4891</v>
      </c>
      <c r="AR160" t="s">
        <v>25</v>
      </c>
    </row>
    <row r="161" spans="7:44">
      <c r="G161" s="32"/>
      <c r="H161" s="32"/>
      <c r="I161" s="206"/>
      <c r="J161" s="206"/>
      <c r="K161" s="32"/>
      <c r="L161" s="97">
        <f>H161+J161</f>
        <v>0</v>
      </c>
      <c r="M161" s="97">
        <f>I161+K161</f>
        <v>0</v>
      </c>
      <c r="Q161" s="112"/>
      <c r="R161" t="s">
        <v>25</v>
      </c>
      <c r="T161" t="s">
        <v>25</v>
      </c>
      <c r="U161" s="94">
        <f>W159+2857</f>
        <v>1498799</v>
      </c>
      <c r="V161" s="279" t="s">
        <v>4406</v>
      </c>
      <c r="W161" s="279">
        <v>48659</v>
      </c>
      <c r="X161" s="88">
        <f>W161*$U$541</f>
        <v>122958054.34023723</v>
      </c>
      <c r="Y161" s="94">
        <f>X161*100/$X$165</f>
        <v>1.1257088166835973</v>
      </c>
      <c r="Z161" t="s">
        <v>25</v>
      </c>
      <c r="AB161" t="s">
        <v>25</v>
      </c>
      <c r="AI161" s="97">
        <v>141</v>
      </c>
      <c r="AJ161" s="111" t="s">
        <v>4877</v>
      </c>
      <c r="AK161" s="111">
        <v>115000</v>
      </c>
      <c r="AL161" s="97"/>
      <c r="AM161" s="20">
        <f t="shared" si="77"/>
        <v>828</v>
      </c>
      <c r="AN161" s="115">
        <f t="shared" si="78"/>
        <v>95220000</v>
      </c>
      <c r="AO161" s="20"/>
      <c r="AR161" t="s">
        <v>25</v>
      </c>
    </row>
    <row r="162" spans="7:44">
      <c r="N162" s="112"/>
      <c r="O162" s="94" t="s">
        <v>25</v>
      </c>
      <c r="P162" s="112"/>
      <c r="Q162" s="112"/>
      <c r="R162" t="s">
        <v>25</v>
      </c>
      <c r="U162" s="94"/>
      <c r="V162" s="279" t="s">
        <v>1069</v>
      </c>
      <c r="W162" s="279">
        <v>162313</v>
      </c>
      <c r="X162" s="88">
        <f>W162*$U$541</f>
        <v>410154147.72450984</v>
      </c>
      <c r="Y162" s="94">
        <f>X162*100/$X$165</f>
        <v>3.755054052947342</v>
      </c>
      <c r="AA162" t="s">
        <v>25</v>
      </c>
      <c r="AI162" s="97">
        <v>142</v>
      </c>
      <c r="AJ162" s="111" t="s">
        <v>4885</v>
      </c>
      <c r="AK162" s="111">
        <v>-1100000</v>
      </c>
      <c r="AL162" s="97"/>
      <c r="AM162" s="20">
        <f t="shared" si="77"/>
        <v>828</v>
      </c>
      <c r="AN162" s="115">
        <f t="shared" si="78"/>
        <v>-910800000</v>
      </c>
      <c r="AO162" s="20" t="s">
        <v>4892</v>
      </c>
      <c r="AR162" t="s">
        <v>25</v>
      </c>
    </row>
    <row r="163" spans="7:44">
      <c r="O163" s="94"/>
      <c r="P163" s="112"/>
      <c r="Q163" s="112"/>
      <c r="U163" s="94">
        <f>W162+2977</f>
        <v>165290</v>
      </c>
      <c r="V163" s="279"/>
      <c r="W163" s="279"/>
      <c r="X163" s="279"/>
      <c r="Y163" s="113"/>
      <c r="Z163" t="s">
        <v>25</v>
      </c>
      <c r="AI163" s="97">
        <v>143</v>
      </c>
      <c r="AJ163" s="111" t="s">
        <v>4885</v>
      </c>
      <c r="AK163" s="111">
        <v>900000</v>
      </c>
      <c r="AL163" s="97">
        <v>1</v>
      </c>
      <c r="AM163" s="20">
        <f t="shared" si="77"/>
        <v>828</v>
      </c>
      <c r="AN163" s="115">
        <f t="shared" si="78"/>
        <v>745200000</v>
      </c>
      <c r="AO163" s="20" t="s">
        <v>4891</v>
      </c>
    </row>
    <row r="164" spans="7:44">
      <c r="K164" t="s">
        <v>25</v>
      </c>
      <c r="M164" t="s">
        <v>25</v>
      </c>
      <c r="N164" s="112"/>
      <c r="O164" s="94"/>
      <c r="P164" s="112"/>
      <c r="Q164" s="112"/>
      <c r="R164" t="s">
        <v>25</v>
      </c>
      <c r="T164" t="s">
        <v>25</v>
      </c>
      <c r="U164" s="94"/>
      <c r="V164" s="87"/>
      <c r="W164" s="87">
        <f>SUM(W159:W162)</f>
        <v>4322521</v>
      </c>
      <c r="X164" s="87"/>
      <c r="Y164" s="112" t="s">
        <v>25</v>
      </c>
      <c r="Z164" t="s">
        <v>25</v>
      </c>
      <c r="AA164" t="s">
        <v>25</v>
      </c>
      <c r="AI164" s="97">
        <v>144</v>
      </c>
      <c r="AJ164" s="111" t="s">
        <v>4889</v>
      </c>
      <c r="AK164" s="111">
        <v>2000000</v>
      </c>
      <c r="AL164" s="97">
        <v>0</v>
      </c>
      <c r="AM164" s="20">
        <f t="shared" si="77"/>
        <v>827</v>
      </c>
      <c r="AN164" s="115">
        <f t="shared" si="78"/>
        <v>1654000000</v>
      </c>
      <c r="AO164" s="20"/>
    </row>
    <row r="165" spans="7:44">
      <c r="G165" s="206" t="s">
        <v>180</v>
      </c>
      <c r="H165" s="206" t="s">
        <v>5451</v>
      </c>
      <c r="I165" t="s">
        <v>5444</v>
      </c>
      <c r="O165" s="94"/>
      <c r="P165" s="112"/>
      <c r="Q165" s="112"/>
      <c r="R165" s="94" t="s">
        <v>25</v>
      </c>
      <c r="S165" s="94"/>
      <c r="T165" s="94" t="s">
        <v>25</v>
      </c>
      <c r="U165" s="94" t="s">
        <v>25</v>
      </c>
      <c r="V165" s="87"/>
      <c r="W165" s="87">
        <f>W164-V538</f>
        <v>0</v>
      </c>
      <c r="X165" s="140">
        <f>SUM(X159:X162)</f>
        <v>10922722867.4</v>
      </c>
      <c r="Y165" s="94"/>
      <c r="Z165" t="s">
        <v>25</v>
      </c>
      <c r="AA165" t="s">
        <v>25</v>
      </c>
      <c r="AI165" s="97">
        <v>145</v>
      </c>
      <c r="AJ165" s="111" t="s">
        <v>4889</v>
      </c>
      <c r="AK165" s="111">
        <v>360000</v>
      </c>
      <c r="AL165" s="97">
        <v>1</v>
      </c>
      <c r="AM165" s="20">
        <f t="shared" si="77"/>
        <v>827</v>
      </c>
      <c r="AN165" s="115">
        <f t="shared" si="78"/>
        <v>297720000</v>
      </c>
      <c r="AO165" s="20"/>
    </row>
    <row r="166" spans="7:44">
      <c r="G166" s="206" t="s">
        <v>5418</v>
      </c>
      <c r="H166" s="1">
        <v>30000000</v>
      </c>
      <c r="I166" s="297" t="s">
        <v>5445</v>
      </c>
      <c r="M166" t="s">
        <v>25</v>
      </c>
      <c r="O166" s="94"/>
      <c r="P166" s="112"/>
      <c r="Q166" s="112"/>
      <c r="R166" s="94"/>
      <c r="S166" s="94"/>
      <c r="T166" s="94"/>
      <c r="U166" s="94" t="s">
        <v>25</v>
      </c>
      <c r="V166" s="87"/>
      <c r="W166" s="87" t="s">
        <v>5807</v>
      </c>
      <c r="X166" s="140">
        <f>S177-X162</f>
        <v>73080383.875490189</v>
      </c>
      <c r="Y166" s="94"/>
      <c r="Z166" t="s">
        <v>25</v>
      </c>
      <c r="AA166" t="s">
        <v>25</v>
      </c>
      <c r="AI166" s="97">
        <v>146</v>
      </c>
      <c r="AJ166" s="111" t="s">
        <v>4890</v>
      </c>
      <c r="AK166" s="111">
        <v>3000000</v>
      </c>
      <c r="AL166" s="97">
        <v>1</v>
      </c>
      <c r="AM166" s="20">
        <f t="shared" si="77"/>
        <v>826</v>
      </c>
      <c r="AN166" s="115">
        <f t="shared" si="78"/>
        <v>2478000000</v>
      </c>
      <c r="AO166" s="20"/>
    </row>
    <row r="167" spans="7:44">
      <c r="G167" s="206" t="s">
        <v>5419</v>
      </c>
      <c r="H167" s="1">
        <v>550000</v>
      </c>
      <c r="I167" t="s">
        <v>5446</v>
      </c>
      <c r="O167" s="94"/>
      <c r="P167" s="112"/>
      <c r="Q167" s="112"/>
      <c r="R167" s="94" t="s">
        <v>25</v>
      </c>
      <c r="S167" s="94"/>
      <c r="T167" s="94"/>
      <c r="U167" s="94" t="s">
        <v>25</v>
      </c>
      <c r="V167" s="87"/>
      <c r="W167" s="87" t="s">
        <v>5806</v>
      </c>
      <c r="X167" s="140">
        <f>X161-X166</f>
        <v>49877670.464747041</v>
      </c>
      <c r="Y167" s="94"/>
      <c r="AA167" t="s">
        <v>25</v>
      </c>
      <c r="AB167" t="s">
        <v>25</v>
      </c>
      <c r="AI167" s="97">
        <v>147</v>
      </c>
      <c r="AJ167" s="111" t="s">
        <v>4888</v>
      </c>
      <c r="AK167" s="111">
        <v>-658226</v>
      </c>
      <c r="AL167" s="97">
        <v>1</v>
      </c>
      <c r="AM167" s="20">
        <f t="shared" si="77"/>
        <v>825</v>
      </c>
      <c r="AN167" s="115">
        <f t="shared" si="78"/>
        <v>-543036450</v>
      </c>
      <c r="AO167" s="20"/>
    </row>
    <row r="168" spans="7:44">
      <c r="G168" s="206" t="s">
        <v>5420</v>
      </c>
      <c r="H168" s="1">
        <v>70370000</v>
      </c>
      <c r="I168" t="s">
        <v>4082</v>
      </c>
      <c r="O168" s="94"/>
      <c r="P168" s="112"/>
      <c r="Q168" s="112"/>
      <c r="R168" s="94" t="s">
        <v>25</v>
      </c>
      <c r="S168" s="94"/>
      <c r="T168" s="94" t="s">
        <v>25</v>
      </c>
      <c r="U168" s="94"/>
      <c r="V168" s="87"/>
      <c r="W168" s="87" t="s">
        <v>4913</v>
      </c>
      <c r="X168" s="140">
        <f>X159+X167-S176</f>
        <v>-49330404.874549866</v>
      </c>
      <c r="Y168" s="94"/>
      <c r="Z168" t="s">
        <v>25</v>
      </c>
      <c r="AI168" s="97">
        <v>148</v>
      </c>
      <c r="AJ168" s="111" t="s">
        <v>4893</v>
      </c>
      <c r="AK168" s="111">
        <v>1000000</v>
      </c>
      <c r="AL168" s="97">
        <v>15</v>
      </c>
      <c r="AM168" s="20">
        <f t="shared" si="77"/>
        <v>824</v>
      </c>
      <c r="AN168" s="115">
        <f t="shared" si="78"/>
        <v>824000000</v>
      </c>
      <c r="AO168" s="20"/>
      <c r="AQ168" t="s">
        <v>25</v>
      </c>
    </row>
    <row r="169" spans="7:44">
      <c r="G169" s="206" t="s">
        <v>5421</v>
      </c>
      <c r="H169" s="1">
        <v>1215000</v>
      </c>
      <c r="I169" t="s">
        <v>5447</v>
      </c>
      <c r="P169" s="112"/>
      <c r="Q169" s="112"/>
      <c r="R169" s="94"/>
      <c r="S169" s="94"/>
      <c r="T169" s="94"/>
      <c r="U169" s="94"/>
      <c r="V169" s="87"/>
      <c r="W169" s="87"/>
      <c r="X169" s="140"/>
      <c r="Y169" s="113"/>
      <c r="Z169" t="s">
        <v>25</v>
      </c>
      <c r="AI169" s="97">
        <v>149</v>
      </c>
      <c r="AJ169" s="111" t="s">
        <v>4918</v>
      </c>
      <c r="AK169" s="111">
        <v>1130250</v>
      </c>
      <c r="AL169" s="97">
        <v>5</v>
      </c>
      <c r="AM169" s="20">
        <f t="shared" si="71"/>
        <v>809</v>
      </c>
      <c r="AN169" s="115">
        <f t="shared" si="76"/>
        <v>914372250</v>
      </c>
      <c r="AO169" s="20"/>
    </row>
    <row r="170" spans="7:44">
      <c r="G170" s="206" t="s">
        <v>5422</v>
      </c>
      <c r="H170" s="1">
        <v>15350000</v>
      </c>
      <c r="I170" s="297" t="s">
        <v>5448</v>
      </c>
      <c r="P170" s="112"/>
      <c r="Q170" s="112"/>
      <c r="R170" s="94"/>
      <c r="S170" s="94"/>
      <c r="T170" s="94"/>
      <c r="U170" s="94"/>
      <c r="W170" s="94"/>
      <c r="Z170" t="s">
        <v>25</v>
      </c>
      <c r="AF170" s="94" t="s">
        <v>25</v>
      </c>
      <c r="AI170" s="97">
        <v>150</v>
      </c>
      <c r="AJ170" s="111" t="s">
        <v>4926</v>
      </c>
      <c r="AK170" s="111">
        <v>206000</v>
      </c>
      <c r="AL170" s="97">
        <v>2</v>
      </c>
      <c r="AM170" s="20">
        <f t="shared" si="71"/>
        <v>804</v>
      </c>
      <c r="AN170" s="115">
        <f t="shared" si="76"/>
        <v>165624000</v>
      </c>
      <c r="AO170" s="20"/>
    </row>
    <row r="171" spans="7:44">
      <c r="G171" s="206" t="s">
        <v>5423</v>
      </c>
      <c r="H171" s="1">
        <v>70000</v>
      </c>
      <c r="I171" t="s">
        <v>5449</v>
      </c>
      <c r="K171" t="s">
        <v>25</v>
      </c>
      <c r="M171" t="s">
        <v>25</v>
      </c>
      <c r="O171" s="112"/>
      <c r="P171" s="112"/>
      <c r="Q171" s="112"/>
      <c r="R171" s="94"/>
      <c r="S171" s="94"/>
      <c r="T171" s="94"/>
      <c r="U171" s="94" t="s">
        <v>25</v>
      </c>
      <c r="W171" s="94"/>
      <c r="AI171" s="97">
        <v>151</v>
      </c>
      <c r="AJ171" s="111" t="s">
        <v>4933</v>
      </c>
      <c r="AK171" s="111">
        <v>50000</v>
      </c>
      <c r="AL171" s="97">
        <v>2</v>
      </c>
      <c r="AM171" s="20">
        <f t="shared" si="71"/>
        <v>802</v>
      </c>
      <c r="AN171" s="115">
        <f t="shared" si="76"/>
        <v>40100000</v>
      </c>
      <c r="AO171" s="20"/>
    </row>
    <row r="172" spans="7:44">
      <c r="G172" s="206" t="s">
        <v>5427</v>
      </c>
      <c r="H172" s="1">
        <v>800000</v>
      </c>
      <c r="I172" t="s">
        <v>5450</v>
      </c>
      <c r="O172" s="112"/>
      <c r="P172" s="112"/>
      <c r="Q172" s="112"/>
      <c r="T172" s="94" t="s">
        <v>25</v>
      </c>
      <c r="U172" s="94"/>
      <c r="W172" s="94"/>
      <c r="AI172" s="97">
        <v>152</v>
      </c>
      <c r="AJ172" s="111" t="s">
        <v>4937</v>
      </c>
      <c r="AK172" s="111">
        <v>105000</v>
      </c>
      <c r="AL172" s="97">
        <v>4</v>
      </c>
      <c r="AM172" s="20">
        <f t="shared" si="71"/>
        <v>800</v>
      </c>
      <c r="AN172" s="115">
        <f t="shared" si="76"/>
        <v>84000000</v>
      </c>
      <c r="AO172" s="20"/>
    </row>
    <row r="173" spans="7:44">
      <c r="G173" s="206" t="s">
        <v>5439</v>
      </c>
      <c r="H173" s="1">
        <v>1948000</v>
      </c>
      <c r="O173" s="112"/>
      <c r="P173" s="112"/>
      <c r="Q173" s="112"/>
      <c r="R173" s="94"/>
      <c r="S173" s="94"/>
      <c r="T173" s="94"/>
      <c r="U173" s="97" t="s">
        <v>180</v>
      </c>
      <c r="V173" s="97" t="s">
        <v>4431</v>
      </c>
      <c r="W173" s="97" t="s">
        <v>4432</v>
      </c>
      <c r="X173" s="97" t="s">
        <v>4442</v>
      </c>
      <c r="Y173" s="97" t="s">
        <v>8</v>
      </c>
      <c r="Z173" t="s">
        <v>25</v>
      </c>
      <c r="AI173" s="97">
        <v>153</v>
      </c>
      <c r="AJ173" s="111" t="s">
        <v>4941</v>
      </c>
      <c r="AK173" s="111">
        <v>5000000</v>
      </c>
      <c r="AL173" s="97">
        <v>1</v>
      </c>
      <c r="AM173" s="20">
        <f t="shared" si="71"/>
        <v>796</v>
      </c>
      <c r="AN173" s="115">
        <f t="shared" si="76"/>
        <v>3980000000</v>
      </c>
      <c r="AO173" s="20"/>
    </row>
    <row r="174" spans="7:44">
      <c r="G174" s="206" t="s">
        <v>5464</v>
      </c>
      <c r="H174" s="1">
        <v>5745697.3157000002</v>
      </c>
      <c r="P174" s="112"/>
      <c r="Q174" s="112"/>
      <c r="R174" s="94"/>
      <c r="S174" s="94"/>
      <c r="T174" s="94"/>
      <c r="U174" s="111" t="s">
        <v>4417</v>
      </c>
      <c r="V174" s="54">
        <v>1000000</v>
      </c>
      <c r="W174" s="111">
        <v>239.024</v>
      </c>
      <c r="X174" s="111">
        <f t="shared" ref="X174:X275" si="79">V174*W174</f>
        <v>239024000</v>
      </c>
      <c r="Y174" s="97"/>
      <c r="AI174" s="97">
        <v>154</v>
      </c>
      <c r="AJ174" s="111" t="s">
        <v>4942</v>
      </c>
      <c r="AK174" s="111">
        <v>2500000</v>
      </c>
      <c r="AL174" s="97">
        <v>2</v>
      </c>
      <c r="AM174" s="20">
        <f t="shared" si="71"/>
        <v>795</v>
      </c>
      <c r="AN174" s="115">
        <f t="shared" si="76"/>
        <v>1987500000</v>
      </c>
      <c r="AO174" s="20"/>
    </row>
    <row r="175" spans="7:44">
      <c r="G175" s="206" t="s">
        <v>5465</v>
      </c>
      <c r="H175" s="1">
        <v>908158.17935999995</v>
      </c>
      <c r="O175" s="112"/>
      <c r="P175" s="112"/>
      <c r="Q175" s="112"/>
      <c r="R175" s="36" t="s">
        <v>4510</v>
      </c>
      <c r="S175" s="93">
        <f>SUM(N48:N56)</f>
        <v>6589008644.8000002</v>
      </c>
      <c r="U175" s="166" t="s">
        <v>4399</v>
      </c>
      <c r="V175" s="54">
        <v>5904</v>
      </c>
      <c r="W175" s="111">
        <v>237.148</v>
      </c>
      <c r="X175" s="111">
        <f t="shared" si="79"/>
        <v>1400121.7919999999</v>
      </c>
      <c r="Y175" s="97" t="s">
        <v>743</v>
      </c>
      <c r="AA175" t="s">
        <v>25</v>
      </c>
      <c r="AI175" s="248">
        <v>155</v>
      </c>
      <c r="AJ175" s="244" t="s">
        <v>4948</v>
      </c>
      <c r="AK175" s="244">
        <v>-50000000</v>
      </c>
      <c r="AL175" s="248">
        <v>7</v>
      </c>
      <c r="AM175" s="248">
        <f t="shared" si="71"/>
        <v>793</v>
      </c>
      <c r="AN175" s="244">
        <f t="shared" si="76"/>
        <v>-39650000000</v>
      </c>
      <c r="AO175" s="248" t="s">
        <v>4956</v>
      </c>
    </row>
    <row r="176" spans="7:44">
      <c r="G176" s="206" t="s">
        <v>5466</v>
      </c>
      <c r="H176" s="1">
        <v>12642697.648548001</v>
      </c>
      <c r="O176" s="112"/>
      <c r="P176" s="112"/>
      <c r="Q176" s="112"/>
      <c r="R176" s="97" t="s">
        <v>4408</v>
      </c>
      <c r="S176" s="93">
        <f>SUM(N27:N32)</f>
        <v>3879353942</v>
      </c>
      <c r="U176" s="166" t="s">
        <v>4205</v>
      </c>
      <c r="V176" s="166">
        <v>1000</v>
      </c>
      <c r="W176" s="111">
        <v>247.393</v>
      </c>
      <c r="X176" s="111">
        <f t="shared" si="79"/>
        <v>247393</v>
      </c>
      <c r="Y176" s="97" t="s">
        <v>743</v>
      </c>
      <c r="Z176" t="s">
        <v>25</v>
      </c>
      <c r="AI176" s="97">
        <v>156</v>
      </c>
      <c r="AJ176" s="111" t="s">
        <v>4954</v>
      </c>
      <c r="AK176" s="111">
        <v>10000000</v>
      </c>
      <c r="AL176" s="97">
        <v>12</v>
      </c>
      <c r="AM176" s="20">
        <f t="shared" si="71"/>
        <v>786</v>
      </c>
      <c r="AN176" s="115">
        <f t="shared" si="76"/>
        <v>7860000000</v>
      </c>
      <c r="AO176" s="20" t="s">
        <v>4670</v>
      </c>
    </row>
    <row r="177" spans="5:44">
      <c r="G177" s="206" t="s">
        <v>5467</v>
      </c>
      <c r="H177" s="1">
        <v>12297318</v>
      </c>
      <c r="I177" t="s">
        <v>25</v>
      </c>
      <c r="P177" s="112"/>
      <c r="Q177" s="112"/>
      <c r="R177" s="97" t="s">
        <v>4409</v>
      </c>
      <c r="S177" s="93">
        <f>SUM(N35:N36)</f>
        <v>483234531.60000002</v>
      </c>
      <c r="U177" s="380" t="s">
        <v>4443</v>
      </c>
      <c r="V177" s="380">
        <v>8071</v>
      </c>
      <c r="W177" s="90">
        <v>247.797</v>
      </c>
      <c r="X177" s="90">
        <f t="shared" si="79"/>
        <v>1999969.5870000001</v>
      </c>
      <c r="Y177" s="89" t="s">
        <v>4406</v>
      </c>
      <c r="Z177" t="s">
        <v>25</v>
      </c>
      <c r="AI177" s="97">
        <v>157</v>
      </c>
      <c r="AJ177" s="111" t="s">
        <v>4961</v>
      </c>
      <c r="AK177" s="111">
        <v>-16266000</v>
      </c>
      <c r="AL177" s="97">
        <v>1</v>
      </c>
      <c r="AM177" s="20">
        <f t="shared" si="71"/>
        <v>774</v>
      </c>
      <c r="AN177" s="115">
        <f t="shared" si="76"/>
        <v>-12589884000</v>
      </c>
      <c r="AO177" s="20" t="s">
        <v>4969</v>
      </c>
      <c r="AR177" t="s">
        <v>25</v>
      </c>
    </row>
    <row r="178" spans="5:44">
      <c r="G178" s="206" t="s">
        <v>5468</v>
      </c>
      <c r="H178" s="1">
        <v>8959644</v>
      </c>
      <c r="P178" s="112"/>
      <c r="Q178" s="112"/>
      <c r="R178" s="97" t="s">
        <v>4410</v>
      </c>
      <c r="S178" s="93">
        <f>N47</f>
        <v>62</v>
      </c>
      <c r="U178" s="166" t="s">
        <v>4443</v>
      </c>
      <c r="V178" s="166">
        <v>53672</v>
      </c>
      <c r="W178" s="111">
        <v>247.797</v>
      </c>
      <c r="X178" s="111">
        <f t="shared" si="79"/>
        <v>13299760.584000001</v>
      </c>
      <c r="Y178" s="97" t="s">
        <v>452</v>
      </c>
      <c r="Z178" t="s">
        <v>25</v>
      </c>
      <c r="AI178" s="97">
        <v>158</v>
      </c>
      <c r="AJ178" s="111" t="s">
        <v>4970</v>
      </c>
      <c r="AK178" s="111">
        <v>1000000</v>
      </c>
      <c r="AL178" s="97">
        <v>6</v>
      </c>
      <c r="AM178" s="20">
        <f>AM179+AL178</f>
        <v>773</v>
      </c>
      <c r="AN178" s="115">
        <f>AK178*AM178</f>
        <v>773000000</v>
      </c>
      <c r="AO178" s="20"/>
    </row>
    <row r="179" spans="5:44">
      <c r="G179" s="206" t="s">
        <v>5469</v>
      </c>
      <c r="H179" s="111">
        <v>15154095.839328</v>
      </c>
      <c r="P179" s="112"/>
      <c r="Q179" s="112"/>
      <c r="R179" s="97" t="s">
        <v>4411</v>
      </c>
      <c r="S179" s="93">
        <f>N26</f>
        <v>275</v>
      </c>
      <c r="U179" s="380" t="s">
        <v>4451</v>
      </c>
      <c r="V179" s="380">
        <v>4099</v>
      </c>
      <c r="W179" s="90">
        <v>243.93</v>
      </c>
      <c r="X179" s="90">
        <f t="shared" si="79"/>
        <v>999869.07000000007</v>
      </c>
      <c r="Y179" s="89" t="s">
        <v>4406</v>
      </c>
      <c r="AB179" t="s">
        <v>25</v>
      </c>
      <c r="AI179" s="97">
        <v>159</v>
      </c>
      <c r="AJ179" s="111" t="s">
        <v>4978</v>
      </c>
      <c r="AK179" s="111">
        <v>40000</v>
      </c>
      <c r="AL179" s="97">
        <v>5</v>
      </c>
      <c r="AM179" s="20">
        <f>AM180+AL179</f>
        <v>767</v>
      </c>
      <c r="AN179" s="115">
        <f>AK179*AM179</f>
        <v>30680000</v>
      </c>
      <c r="AO179" s="20"/>
    </row>
    <row r="180" spans="5:44">
      <c r="G180" s="206" t="s">
        <v>5474</v>
      </c>
      <c r="H180" s="111">
        <v>4108143</v>
      </c>
      <c r="P180" s="112"/>
      <c r="Q180" s="112"/>
      <c r="R180" s="97" t="s">
        <v>4412</v>
      </c>
      <c r="S180" s="93">
        <f>N34</f>
        <v>169</v>
      </c>
      <c r="U180" s="166" t="s">
        <v>4451</v>
      </c>
      <c r="V180" s="166">
        <v>9301</v>
      </c>
      <c r="W180" s="111">
        <v>243.93</v>
      </c>
      <c r="X180" s="111">
        <f t="shared" si="79"/>
        <v>2268792.9300000002</v>
      </c>
      <c r="Y180" s="97" t="s">
        <v>452</v>
      </c>
      <c r="AA180" t="s">
        <v>25</v>
      </c>
      <c r="AI180" s="97">
        <v>160</v>
      </c>
      <c r="AJ180" s="111" t="s">
        <v>4986</v>
      </c>
      <c r="AK180" s="111">
        <v>120000</v>
      </c>
      <c r="AL180" s="97">
        <v>6</v>
      </c>
      <c r="AM180" s="20">
        <f>AM181+AL180</f>
        <v>762</v>
      </c>
      <c r="AN180" s="115">
        <f>AK180*AM180</f>
        <v>91440000</v>
      </c>
      <c r="AO180" s="20"/>
    </row>
    <row r="181" spans="5:44">
      <c r="G181" s="206" t="s">
        <v>5476</v>
      </c>
      <c r="H181" s="111">
        <v>6000000</v>
      </c>
      <c r="P181" s="112"/>
      <c r="Q181" s="112"/>
      <c r="R181" s="97"/>
      <c r="S181" s="93"/>
      <c r="T181" t="s">
        <v>25</v>
      </c>
      <c r="U181" s="380" t="s">
        <v>4455</v>
      </c>
      <c r="V181" s="380">
        <v>8334</v>
      </c>
      <c r="W181" s="90">
        <v>239.97</v>
      </c>
      <c r="X181" s="90">
        <f t="shared" si="79"/>
        <v>1999909.98</v>
      </c>
      <c r="Y181" s="89" t="s">
        <v>4406</v>
      </c>
      <c r="AI181" s="97">
        <v>161</v>
      </c>
      <c r="AJ181" s="111" t="s">
        <v>4983</v>
      </c>
      <c r="AK181" s="111">
        <v>249000</v>
      </c>
      <c r="AL181" s="97">
        <v>9</v>
      </c>
      <c r="AM181" s="20">
        <f>AM182+AL181</f>
        <v>756</v>
      </c>
      <c r="AN181" s="115">
        <f>AK181*AM181</f>
        <v>188244000</v>
      </c>
      <c r="AO181" s="20"/>
    </row>
    <row r="182" spans="5:44">
      <c r="E182" t="s">
        <v>25</v>
      </c>
      <c r="G182" s="206" t="s">
        <v>5480</v>
      </c>
      <c r="H182" s="111">
        <v>8301786</v>
      </c>
      <c r="I182" t="s">
        <v>25</v>
      </c>
      <c r="P182" s="112"/>
      <c r="Q182" s="112"/>
      <c r="R182" s="97" t="s">
        <v>5044</v>
      </c>
      <c r="S182" s="93">
        <v>0</v>
      </c>
      <c r="U182" s="166" t="s">
        <v>4204</v>
      </c>
      <c r="V182" s="166">
        <v>29041</v>
      </c>
      <c r="W182" s="111">
        <v>233.45</v>
      </c>
      <c r="X182" s="111">
        <f t="shared" si="79"/>
        <v>6779621.4499999993</v>
      </c>
      <c r="Y182" s="97" t="s">
        <v>743</v>
      </c>
      <c r="Z182" s="120" t="s">
        <v>25</v>
      </c>
      <c r="AI182" s="97">
        <v>162</v>
      </c>
      <c r="AJ182" s="111" t="s">
        <v>5008</v>
      </c>
      <c r="AK182" s="111">
        <v>65000</v>
      </c>
      <c r="AL182" s="97">
        <v>7</v>
      </c>
      <c r="AM182" s="20">
        <f>AM183+AL182</f>
        <v>747</v>
      </c>
      <c r="AN182" s="115">
        <f>AK182*AM182</f>
        <v>48555000</v>
      </c>
      <c r="AO182" s="20"/>
    </row>
    <row r="183" spans="5:44">
      <c r="G183" s="206" t="s">
        <v>5484</v>
      </c>
      <c r="H183" s="111">
        <v>50725508.571864001</v>
      </c>
      <c r="P183" s="112"/>
      <c r="Q183" s="112"/>
      <c r="R183" s="97" t="s">
        <v>7080</v>
      </c>
      <c r="S183" s="93">
        <v>-2593</v>
      </c>
      <c r="T183" s="94"/>
      <c r="U183" s="380" t="s">
        <v>977</v>
      </c>
      <c r="V183" s="380">
        <v>12337</v>
      </c>
      <c r="W183" s="90">
        <v>243.16300000000001</v>
      </c>
      <c r="X183" s="90">
        <f t="shared" si="79"/>
        <v>2999901.9310000003</v>
      </c>
      <c r="Y183" s="89" t="s">
        <v>4406</v>
      </c>
      <c r="AI183" s="97">
        <v>163</v>
      </c>
      <c r="AJ183" s="111" t="s">
        <v>5017</v>
      </c>
      <c r="AK183" s="111">
        <v>-312598</v>
      </c>
      <c r="AL183" s="97">
        <v>0</v>
      </c>
      <c r="AM183" s="20">
        <f t="shared" ref="AM183:AM190" si="80">AM184+AL183</f>
        <v>740</v>
      </c>
      <c r="AN183" s="115">
        <f t="shared" ref="AN183:AN190" si="81">AK183*AM183</f>
        <v>-231322520</v>
      </c>
      <c r="AO183" s="20"/>
      <c r="AP183" t="s">
        <v>25</v>
      </c>
      <c r="AR183" t="s">
        <v>25</v>
      </c>
    </row>
    <row r="184" spans="5:44">
      <c r="G184" s="206" t="s">
        <v>5485</v>
      </c>
      <c r="H184" s="111">
        <v>2281961.458596</v>
      </c>
      <c r="P184" s="112"/>
      <c r="Q184" s="112"/>
      <c r="R184" s="97" t="s">
        <v>7106</v>
      </c>
      <c r="S184" s="93">
        <f>-(8479*P51)</f>
        <v>-12192802</v>
      </c>
      <c r="T184" s="94"/>
      <c r="U184" s="166" t="s">
        <v>4528</v>
      </c>
      <c r="V184" s="166">
        <v>-16118</v>
      </c>
      <c r="W184" s="111">
        <v>248.17</v>
      </c>
      <c r="X184" s="111">
        <f t="shared" si="79"/>
        <v>-4000004.0599999996</v>
      </c>
      <c r="Y184" s="97" t="s">
        <v>743</v>
      </c>
      <c r="Z184" t="s">
        <v>25</v>
      </c>
      <c r="AC184" t="s">
        <v>25</v>
      </c>
      <c r="AI184" s="97">
        <v>164</v>
      </c>
      <c r="AJ184" s="111" t="s">
        <v>5017</v>
      </c>
      <c r="AK184" s="111">
        <v>50000</v>
      </c>
      <c r="AL184" s="97">
        <v>6</v>
      </c>
      <c r="AM184" s="20">
        <f t="shared" si="80"/>
        <v>740</v>
      </c>
      <c r="AN184" s="115">
        <f t="shared" si="81"/>
        <v>37000000</v>
      </c>
      <c r="AO184" s="20"/>
    </row>
    <row r="185" spans="5:44">
      <c r="G185" s="206" t="s">
        <v>5492</v>
      </c>
      <c r="H185" s="111">
        <v>10998285</v>
      </c>
      <c r="P185" s="112"/>
      <c r="Q185" s="112"/>
      <c r="R185" s="36" t="s">
        <v>7086</v>
      </c>
      <c r="S185" s="93">
        <f>-5000*P51</f>
        <v>-7190000</v>
      </c>
      <c r="T185" s="113" t="s">
        <v>25</v>
      </c>
      <c r="U185" s="166" t="s">
        <v>4549</v>
      </c>
      <c r="V185" s="166">
        <v>101681</v>
      </c>
      <c r="W185" s="111">
        <v>246.5711</v>
      </c>
      <c r="X185" s="111">
        <f t="shared" si="79"/>
        <v>25071596.019099999</v>
      </c>
      <c r="Y185" s="97" t="s">
        <v>452</v>
      </c>
      <c r="AI185" s="97">
        <v>165</v>
      </c>
      <c r="AJ185" s="111" t="s">
        <v>5027</v>
      </c>
      <c r="AK185" s="111">
        <v>-200000</v>
      </c>
      <c r="AL185" s="97">
        <v>0</v>
      </c>
      <c r="AM185" s="20">
        <f t="shared" si="80"/>
        <v>734</v>
      </c>
      <c r="AN185" s="115">
        <f t="shared" si="81"/>
        <v>-146800000</v>
      </c>
      <c r="AO185" s="20" t="s">
        <v>5028</v>
      </c>
    </row>
    <row r="186" spans="5:44">
      <c r="G186" s="206" t="s">
        <v>5493</v>
      </c>
      <c r="H186" s="111">
        <v>983018.96187300002</v>
      </c>
      <c r="P186" s="112"/>
      <c r="Q186" s="112"/>
      <c r="R186" s="97" t="s">
        <v>7117</v>
      </c>
      <c r="S186" s="93">
        <f>-6599*P51</f>
        <v>-9489362</v>
      </c>
      <c r="T186" s="120" t="s">
        <v>25</v>
      </c>
      <c r="U186" s="166" t="s">
        <v>4553</v>
      </c>
      <c r="V186" s="166">
        <v>66606</v>
      </c>
      <c r="W186" s="111">
        <v>251.131</v>
      </c>
      <c r="X186" s="111">
        <f t="shared" si="79"/>
        <v>16726831.386</v>
      </c>
      <c r="Y186" s="97" t="s">
        <v>743</v>
      </c>
      <c r="AI186" s="97">
        <v>166</v>
      </c>
      <c r="AJ186" s="111" t="s">
        <v>5027</v>
      </c>
      <c r="AK186" s="111">
        <v>200000</v>
      </c>
      <c r="AL186" s="97">
        <v>3</v>
      </c>
      <c r="AM186" s="20">
        <f t="shared" si="80"/>
        <v>734</v>
      </c>
      <c r="AN186" s="115">
        <f t="shared" si="81"/>
        <v>146800000</v>
      </c>
      <c r="AO186" s="20"/>
      <c r="AR186" t="s">
        <v>25</v>
      </c>
    </row>
    <row r="187" spans="5:44">
      <c r="G187" s="206" t="s">
        <v>5495</v>
      </c>
      <c r="H187" s="111">
        <v>17049271.032000002</v>
      </c>
      <c r="I187" s="94"/>
      <c r="P187" s="112"/>
      <c r="Q187" s="112"/>
      <c r="R187" s="97" t="s">
        <v>5045</v>
      </c>
      <c r="S187" s="93">
        <v>0</v>
      </c>
      <c r="T187" s="120"/>
      <c r="U187" s="166" t="s">
        <v>4558</v>
      </c>
      <c r="V187" s="166">
        <v>172025</v>
      </c>
      <c r="W187" s="111">
        <v>245.52809999999999</v>
      </c>
      <c r="X187" s="111">
        <f t="shared" si="79"/>
        <v>42236971.402499996</v>
      </c>
      <c r="Y187" s="97" t="s">
        <v>452</v>
      </c>
      <c r="AI187" s="97">
        <v>167</v>
      </c>
      <c r="AJ187" s="111" t="s">
        <v>5034</v>
      </c>
      <c r="AK187" s="111">
        <v>200000</v>
      </c>
      <c r="AL187" s="97">
        <v>3</v>
      </c>
      <c r="AM187" s="20">
        <f t="shared" si="80"/>
        <v>731</v>
      </c>
      <c r="AN187" s="115">
        <f t="shared" si="81"/>
        <v>146200000</v>
      </c>
      <c r="AO187" s="20"/>
    </row>
    <row r="188" spans="5:44">
      <c r="G188" s="206" t="s">
        <v>5498</v>
      </c>
      <c r="H188" s="111">
        <v>6829998</v>
      </c>
      <c r="I188" s="94"/>
      <c r="O188" s="112"/>
      <c r="P188" s="112"/>
      <c r="Q188" s="112"/>
      <c r="R188" s="97"/>
      <c r="S188" s="93"/>
      <c r="T188" s="113"/>
      <c r="U188" s="166" t="s">
        <v>4558</v>
      </c>
      <c r="V188" s="166">
        <v>189227</v>
      </c>
      <c r="W188" s="111">
        <v>245.52809999999999</v>
      </c>
      <c r="X188" s="111">
        <f t="shared" si="79"/>
        <v>46460545.778700002</v>
      </c>
      <c r="Y188" s="97" t="s">
        <v>743</v>
      </c>
      <c r="AI188" s="97">
        <v>168</v>
      </c>
      <c r="AJ188" s="111" t="s">
        <v>5037</v>
      </c>
      <c r="AK188" s="111">
        <v>30000</v>
      </c>
      <c r="AL188" s="97">
        <v>7</v>
      </c>
      <c r="AM188" s="20">
        <f t="shared" si="80"/>
        <v>728</v>
      </c>
      <c r="AN188" s="115">
        <f t="shared" si="81"/>
        <v>21840000</v>
      </c>
      <c r="AO188" s="20"/>
    </row>
    <row r="189" spans="5:44">
      <c r="G189" s="206" t="s">
        <v>4209</v>
      </c>
      <c r="H189" s="111">
        <v>6982608.8207999999</v>
      </c>
      <c r="I189" s="94"/>
      <c r="O189" t="s">
        <v>25</v>
      </c>
      <c r="P189" s="112"/>
      <c r="Q189" s="112"/>
      <c r="R189" s="97"/>
      <c r="S189" s="93"/>
      <c r="T189" s="113"/>
      <c r="U189" s="166" t="s">
        <v>4559</v>
      </c>
      <c r="V189" s="166">
        <v>79720</v>
      </c>
      <c r="W189" s="111">
        <v>246.6568</v>
      </c>
      <c r="X189" s="111">
        <f t="shared" si="79"/>
        <v>19663480.096000001</v>
      </c>
      <c r="Y189" s="97" t="s">
        <v>452</v>
      </c>
      <c r="Z189" s="8" t="s">
        <v>25</v>
      </c>
      <c r="AA189" t="s">
        <v>25</v>
      </c>
      <c r="AI189" s="97">
        <v>169</v>
      </c>
      <c r="AJ189" s="111" t="s">
        <v>4996</v>
      </c>
      <c r="AK189" s="111">
        <v>-10000000</v>
      </c>
      <c r="AL189" s="97">
        <v>0</v>
      </c>
      <c r="AM189" s="20">
        <f t="shared" si="80"/>
        <v>721</v>
      </c>
      <c r="AN189" s="115">
        <f t="shared" si="81"/>
        <v>-7210000000</v>
      </c>
      <c r="AO189" s="20" t="s">
        <v>4956</v>
      </c>
    </row>
    <row r="190" spans="5:44">
      <c r="G190" s="206" t="s">
        <v>5518</v>
      </c>
      <c r="H190" s="111">
        <v>7510131.0216000006</v>
      </c>
      <c r="I190" s="94"/>
      <c r="P190" s="112"/>
      <c r="Q190" s="112"/>
      <c r="R190" s="97" t="s">
        <v>4416</v>
      </c>
      <c r="S190" s="93">
        <f>SUM(S175:S189)</f>
        <v>10922722867.4</v>
      </c>
      <c r="U190" s="166" t="s">
        <v>4559</v>
      </c>
      <c r="V190" s="166">
        <v>79720</v>
      </c>
      <c r="W190" s="111">
        <v>246.6568</v>
      </c>
      <c r="X190" s="111">
        <f t="shared" si="79"/>
        <v>19663480.096000001</v>
      </c>
      <c r="Y190" s="97" t="s">
        <v>743</v>
      </c>
      <c r="AI190" s="97">
        <v>170</v>
      </c>
      <c r="AJ190" s="111" t="s">
        <v>4996</v>
      </c>
      <c r="AK190" s="111">
        <v>6000000</v>
      </c>
      <c r="AL190" s="97">
        <v>8</v>
      </c>
      <c r="AM190" s="20">
        <f t="shared" si="80"/>
        <v>721</v>
      </c>
      <c r="AN190" s="115">
        <f t="shared" si="81"/>
        <v>4326000000</v>
      </c>
      <c r="AO190" s="20"/>
      <c r="AQ190" t="s">
        <v>25</v>
      </c>
    </row>
    <row r="191" spans="5:44">
      <c r="G191" s="206" t="s">
        <v>5524</v>
      </c>
      <c r="H191" s="111">
        <v>10397191</v>
      </c>
      <c r="J191" t="s">
        <v>25</v>
      </c>
      <c r="O191" t="s">
        <v>25</v>
      </c>
      <c r="P191" s="112"/>
      <c r="Q191" s="112"/>
      <c r="R191" s="94"/>
      <c r="U191" s="166" t="s">
        <v>4580</v>
      </c>
      <c r="V191" s="166">
        <v>17769</v>
      </c>
      <c r="W191" s="111">
        <v>246.17877999999999</v>
      </c>
      <c r="X191" s="111">
        <f t="shared" si="79"/>
        <v>4374350.7418200001</v>
      </c>
      <c r="Y191" s="97" t="s">
        <v>743</v>
      </c>
      <c r="AI191" s="97">
        <v>171</v>
      </c>
      <c r="AJ191" s="111" t="s">
        <v>5061</v>
      </c>
      <c r="AK191" s="111">
        <v>150000</v>
      </c>
      <c r="AL191" s="97">
        <v>7</v>
      </c>
      <c r="AM191" s="20">
        <f>AM192+AL191</f>
        <v>713</v>
      </c>
      <c r="AN191" s="115">
        <f>AK191*AM191</f>
        <v>106950000</v>
      </c>
      <c r="AO191" s="20"/>
    </row>
    <row r="192" spans="5:44">
      <c r="G192" s="206" t="s">
        <v>5533</v>
      </c>
      <c r="H192" s="111">
        <v>195059.35799999998</v>
      </c>
      <c r="J192" t="s">
        <v>25</v>
      </c>
      <c r="P192" s="112"/>
      <c r="Q192" s="112"/>
      <c r="U192" s="166" t="s">
        <v>4580</v>
      </c>
      <c r="V192" s="166">
        <v>17769</v>
      </c>
      <c r="W192" s="111">
        <v>246.17877999999999</v>
      </c>
      <c r="X192" s="111">
        <f t="shared" si="79"/>
        <v>4374350.7418200001</v>
      </c>
      <c r="Y192" s="97" t="s">
        <v>452</v>
      </c>
      <c r="AI192" s="97">
        <v>172</v>
      </c>
      <c r="AJ192" s="111" t="s">
        <v>5094</v>
      </c>
      <c r="AK192" s="111">
        <v>400000</v>
      </c>
      <c r="AL192" s="97">
        <v>1</v>
      </c>
      <c r="AM192" s="20">
        <f>AM193+AL192</f>
        <v>706</v>
      </c>
      <c r="AN192" s="115">
        <f>AK192*AM192</f>
        <v>282400000</v>
      </c>
      <c r="AO192" s="20"/>
    </row>
    <row r="193" spans="7:46">
      <c r="G193" s="206" t="s">
        <v>5538</v>
      </c>
      <c r="H193" s="111">
        <v>744082</v>
      </c>
      <c r="P193" s="112"/>
      <c r="Q193" s="112"/>
      <c r="R193" s="206" t="s">
        <v>8</v>
      </c>
      <c r="S193" s="206" t="s">
        <v>4406</v>
      </c>
      <c r="T193" s="206"/>
      <c r="U193" s="380" t="s">
        <v>4582</v>
      </c>
      <c r="V193" s="380">
        <v>12438</v>
      </c>
      <c r="W193" s="90">
        <v>241.20465999999999</v>
      </c>
      <c r="X193" s="90">
        <f t="shared" si="79"/>
        <v>3000103.5610799999</v>
      </c>
      <c r="Y193" s="89" t="s">
        <v>4406</v>
      </c>
      <c r="AI193" s="97">
        <v>173</v>
      </c>
      <c r="AJ193" s="111" t="s">
        <v>5097</v>
      </c>
      <c r="AK193" s="111">
        <v>-100000</v>
      </c>
      <c r="AL193" s="97">
        <v>1</v>
      </c>
      <c r="AM193" s="20">
        <f>AM194+AL193</f>
        <v>705</v>
      </c>
      <c r="AN193" s="115">
        <f>AK193*AM193</f>
        <v>-70500000</v>
      </c>
      <c r="AO193" s="20"/>
    </row>
    <row r="194" spans="7:46">
      <c r="G194" s="206" t="s">
        <v>5540</v>
      </c>
      <c r="H194" s="111">
        <v>920308.446</v>
      </c>
      <c r="K194" t="s">
        <v>25</v>
      </c>
      <c r="O194" t="s">
        <v>25</v>
      </c>
      <c r="P194" s="112"/>
      <c r="Q194" s="112"/>
      <c r="R194" s="206"/>
      <c r="S194" s="71" t="s">
        <v>180</v>
      </c>
      <c r="T194" s="206" t="s">
        <v>267</v>
      </c>
      <c r="U194" s="166" t="s">
        <v>4591</v>
      </c>
      <c r="V194" s="166">
        <v>27363</v>
      </c>
      <c r="W194" s="111">
        <v>239.3886</v>
      </c>
      <c r="X194" s="111">
        <f t="shared" si="79"/>
        <v>6550390.2617999995</v>
      </c>
      <c r="Y194" s="97" t="s">
        <v>743</v>
      </c>
      <c r="AI194" s="97">
        <v>174</v>
      </c>
      <c r="AJ194" s="111" t="s">
        <v>5101</v>
      </c>
      <c r="AK194" s="111">
        <v>10000000</v>
      </c>
      <c r="AL194" s="97">
        <v>1</v>
      </c>
      <c r="AM194" s="20">
        <f>AM195+AL194</f>
        <v>704</v>
      </c>
      <c r="AN194" s="115">
        <f>AK194*AM194</f>
        <v>7040000000</v>
      </c>
      <c r="AO194" s="20" t="s">
        <v>4670</v>
      </c>
      <c r="AT194" t="s">
        <v>25</v>
      </c>
    </row>
    <row r="195" spans="7:46">
      <c r="G195" s="206" t="s">
        <v>5541</v>
      </c>
      <c r="H195" s="111">
        <v>4635809.8416840006</v>
      </c>
      <c r="J195" t="s">
        <v>25</v>
      </c>
      <c r="P195" s="112"/>
      <c r="R195" s="206"/>
      <c r="S195" s="206" t="s">
        <v>4399</v>
      </c>
      <c r="T195" s="111">
        <v>3000000</v>
      </c>
      <c r="U195" s="166" t="s">
        <v>4591</v>
      </c>
      <c r="V195" s="166">
        <v>27363</v>
      </c>
      <c r="W195" s="111">
        <v>239.3886</v>
      </c>
      <c r="X195" s="111">
        <f t="shared" si="79"/>
        <v>6550390.2617999995</v>
      </c>
      <c r="Y195" s="97" t="s">
        <v>452</v>
      </c>
      <c r="AI195" s="97">
        <v>175</v>
      </c>
      <c r="AJ195" s="111" t="s">
        <v>5106</v>
      </c>
      <c r="AK195" s="111">
        <v>-400000</v>
      </c>
      <c r="AL195" s="97">
        <v>6</v>
      </c>
      <c r="AM195" s="20">
        <f t="shared" ref="AM195:AM203" si="82">AM196+AL195</f>
        <v>703</v>
      </c>
      <c r="AN195" s="115">
        <f t="shared" ref="AN195:AN203" si="83">AK195*AM195</f>
        <v>-281200000</v>
      </c>
      <c r="AO195" s="20"/>
    </row>
    <row r="196" spans="7:46">
      <c r="G196" s="206" t="s">
        <v>5570</v>
      </c>
      <c r="H196" s="111">
        <v>58508002.009000003</v>
      </c>
      <c r="J196" t="s">
        <v>25</v>
      </c>
      <c r="P196" s="112"/>
      <c r="R196" s="206"/>
      <c r="S196" s="206" t="s">
        <v>4443</v>
      </c>
      <c r="T196" s="111">
        <v>2000000</v>
      </c>
      <c r="U196" s="204" t="s">
        <v>4593</v>
      </c>
      <c r="V196" s="204">
        <v>27437</v>
      </c>
      <c r="W196" s="111">
        <v>242.4015</v>
      </c>
      <c r="X196" s="111">
        <f t="shared" si="79"/>
        <v>6650769.9555000002</v>
      </c>
      <c r="Y196" s="97" t="s">
        <v>743</v>
      </c>
      <c r="AI196" s="97">
        <v>176</v>
      </c>
      <c r="AJ196" s="111" t="s">
        <v>5113</v>
      </c>
      <c r="AK196" s="111">
        <v>1300000</v>
      </c>
      <c r="AL196" s="97">
        <v>0</v>
      </c>
      <c r="AM196" s="20">
        <f t="shared" si="82"/>
        <v>697</v>
      </c>
      <c r="AN196" s="115">
        <f t="shared" si="83"/>
        <v>906100000</v>
      </c>
      <c r="AO196" s="20"/>
      <c r="AS196" t="s">
        <v>25</v>
      </c>
    </row>
    <row r="197" spans="7:46">
      <c r="G197" s="206" t="s">
        <v>5572</v>
      </c>
      <c r="H197" s="111">
        <v>2245515.5410799999</v>
      </c>
      <c r="P197" s="112"/>
      <c r="R197" s="206"/>
      <c r="S197" s="206" t="s">
        <v>4451</v>
      </c>
      <c r="T197" s="111">
        <v>1000000</v>
      </c>
      <c r="U197" s="204" t="s">
        <v>4593</v>
      </c>
      <c r="V197" s="204">
        <v>29104</v>
      </c>
      <c r="W197" s="111">
        <v>242.4015</v>
      </c>
      <c r="X197" s="111">
        <f t="shared" si="79"/>
        <v>7054853.2560000001</v>
      </c>
      <c r="Y197" s="97" t="s">
        <v>452</v>
      </c>
      <c r="AI197" s="97">
        <v>177</v>
      </c>
      <c r="AJ197" s="111" t="s">
        <v>5113</v>
      </c>
      <c r="AK197" s="111">
        <v>230000</v>
      </c>
      <c r="AL197" s="97">
        <v>1</v>
      </c>
      <c r="AM197" s="20">
        <f t="shared" si="82"/>
        <v>697</v>
      </c>
      <c r="AN197" s="115">
        <f t="shared" si="83"/>
        <v>160310000</v>
      </c>
      <c r="AO197" s="20"/>
    </row>
    <row r="198" spans="7:46">
      <c r="G198" s="206" t="s">
        <v>5574</v>
      </c>
      <c r="H198" s="111">
        <v>18404699.3442</v>
      </c>
      <c r="R198" s="206"/>
      <c r="S198" s="206" t="s">
        <v>4455</v>
      </c>
      <c r="T198" s="111">
        <v>2000000</v>
      </c>
      <c r="U198" s="206" t="s">
        <v>4606</v>
      </c>
      <c r="V198" s="206">
        <v>8991</v>
      </c>
      <c r="W198" s="111">
        <v>238.64867000000001</v>
      </c>
      <c r="X198" s="111">
        <f t="shared" si="79"/>
        <v>2145690.19197</v>
      </c>
      <c r="Y198" s="97" t="s">
        <v>743</v>
      </c>
      <c r="AI198" s="97">
        <v>178</v>
      </c>
      <c r="AJ198" s="111" t="s">
        <v>5116</v>
      </c>
      <c r="AK198" s="111">
        <v>880000</v>
      </c>
      <c r="AL198" s="97">
        <v>4</v>
      </c>
      <c r="AM198" s="20">
        <f t="shared" si="82"/>
        <v>696</v>
      </c>
      <c r="AN198" s="115">
        <f t="shared" si="83"/>
        <v>612480000</v>
      </c>
      <c r="AO198" s="20"/>
    </row>
    <row r="199" spans="7:46">
      <c r="G199" s="206" t="s">
        <v>5577</v>
      </c>
      <c r="H199" s="111">
        <v>2264658.5922190002</v>
      </c>
      <c r="J199" t="s">
        <v>25</v>
      </c>
      <c r="Q199" s="112"/>
      <c r="R199" s="206"/>
      <c r="S199" s="206" t="s">
        <v>977</v>
      </c>
      <c r="T199" s="111">
        <v>3000000</v>
      </c>
      <c r="U199" s="206" t="s">
        <v>4606</v>
      </c>
      <c r="V199" s="206">
        <v>8991</v>
      </c>
      <c r="W199" s="111">
        <v>238.64867000000001</v>
      </c>
      <c r="X199" s="111">
        <f t="shared" si="79"/>
        <v>2145690.19197</v>
      </c>
      <c r="Y199" s="97" t="s">
        <v>452</v>
      </c>
      <c r="AI199" s="97">
        <v>179</v>
      </c>
      <c r="AJ199" s="111" t="s">
        <v>5120</v>
      </c>
      <c r="AK199" s="111">
        <v>-900000</v>
      </c>
      <c r="AL199" s="97">
        <v>1</v>
      </c>
      <c r="AM199" s="20">
        <f t="shared" si="82"/>
        <v>692</v>
      </c>
      <c r="AN199" s="115">
        <f t="shared" si="83"/>
        <v>-622800000</v>
      </c>
      <c r="AO199" s="20"/>
    </row>
    <row r="200" spans="7:46">
      <c r="G200" s="206" t="s">
        <v>5579</v>
      </c>
      <c r="H200" s="111">
        <v>22877413.789960001</v>
      </c>
      <c r="J200" t="s">
        <v>25</v>
      </c>
      <c r="K200" t="s">
        <v>25</v>
      </c>
      <c r="Q200" s="112"/>
      <c r="R200" s="206"/>
      <c r="S200" s="206" t="s">
        <v>4582</v>
      </c>
      <c r="T200" s="111">
        <v>3000000</v>
      </c>
      <c r="U200" s="206" t="s">
        <v>4617</v>
      </c>
      <c r="V200" s="206">
        <v>18170</v>
      </c>
      <c r="W200" s="111">
        <v>240.48475999999999</v>
      </c>
      <c r="X200" s="111">
        <f t="shared" si="79"/>
        <v>4369608.0892000003</v>
      </c>
      <c r="Y200" s="97" t="s">
        <v>743</v>
      </c>
      <c r="AI200" s="97">
        <v>180</v>
      </c>
      <c r="AJ200" s="111" t="s">
        <v>975</v>
      </c>
      <c r="AK200" s="111">
        <v>-3500000</v>
      </c>
      <c r="AL200" s="97">
        <v>1</v>
      </c>
      <c r="AM200" s="20">
        <f t="shared" si="82"/>
        <v>691</v>
      </c>
      <c r="AN200" s="115">
        <f t="shared" si="83"/>
        <v>-2418500000</v>
      </c>
      <c r="AO200" s="20"/>
      <c r="AS200" t="s">
        <v>25</v>
      </c>
    </row>
    <row r="201" spans="7:46">
      <c r="G201" s="206" t="s">
        <v>5582</v>
      </c>
      <c r="H201" s="111">
        <v>2362539.4373280001</v>
      </c>
      <c r="J201" t="s">
        <v>25</v>
      </c>
      <c r="Q201" s="112"/>
      <c r="R201" s="206" t="s">
        <v>4744</v>
      </c>
      <c r="S201" s="206" t="s">
        <v>4739</v>
      </c>
      <c r="T201" s="111">
        <v>-800000</v>
      </c>
      <c r="U201" s="206" t="s">
        <v>4617</v>
      </c>
      <c r="V201" s="206">
        <v>18170</v>
      </c>
      <c r="W201" s="111">
        <v>240.48475999999999</v>
      </c>
      <c r="X201" s="111">
        <f t="shared" si="79"/>
        <v>4369608.0892000003</v>
      </c>
      <c r="Y201" s="97" t="s">
        <v>452</v>
      </c>
      <c r="AI201" s="97">
        <v>181</v>
      </c>
      <c r="AJ201" s="111" t="s">
        <v>4253</v>
      </c>
      <c r="AK201" s="111">
        <v>-1600000</v>
      </c>
      <c r="AL201" s="97">
        <v>1</v>
      </c>
      <c r="AM201" s="20">
        <f t="shared" si="82"/>
        <v>690</v>
      </c>
      <c r="AN201" s="115">
        <f t="shared" si="83"/>
        <v>-1104000000</v>
      </c>
      <c r="AO201" s="20"/>
      <c r="AR201" t="s">
        <v>25</v>
      </c>
    </row>
    <row r="202" spans="7:46">
      <c r="G202" s="206" t="s">
        <v>5583</v>
      </c>
      <c r="H202" s="111">
        <v>16042676.656608</v>
      </c>
      <c r="P202" s="112"/>
      <c r="Q202" s="112"/>
      <c r="R202" s="206" t="s">
        <v>4745</v>
      </c>
      <c r="S202" s="206" t="s">
        <v>4739</v>
      </c>
      <c r="T202" s="111">
        <v>-900000</v>
      </c>
      <c r="U202" s="206" t="s">
        <v>4619</v>
      </c>
      <c r="V202" s="206">
        <v>36797</v>
      </c>
      <c r="W202" s="111">
        <v>239.0822</v>
      </c>
      <c r="X202" s="111">
        <f t="shared" si="79"/>
        <v>8797507.7134000007</v>
      </c>
      <c r="Y202" s="97" t="s">
        <v>743</v>
      </c>
      <c r="AI202" s="97">
        <v>182</v>
      </c>
      <c r="AJ202" s="111" t="s">
        <v>5125</v>
      </c>
      <c r="AK202" s="111">
        <v>-800000</v>
      </c>
      <c r="AL202" s="97">
        <v>7</v>
      </c>
      <c r="AM202" s="20">
        <f t="shared" si="82"/>
        <v>689</v>
      </c>
      <c r="AN202" s="115">
        <f t="shared" si="83"/>
        <v>-551200000</v>
      </c>
      <c r="AO202" s="20"/>
    </row>
    <row r="203" spans="7:46">
      <c r="G203" s="206" t="s">
        <v>5584</v>
      </c>
      <c r="H203" s="111">
        <v>18403291.448284</v>
      </c>
      <c r="O203" t="s">
        <v>25</v>
      </c>
      <c r="P203" s="112"/>
      <c r="Q203" s="112"/>
      <c r="R203" s="206" t="s">
        <v>4745</v>
      </c>
      <c r="S203" s="206" t="s">
        <v>964</v>
      </c>
      <c r="T203" s="111">
        <v>-1100000</v>
      </c>
      <c r="U203" s="206" t="s">
        <v>4619</v>
      </c>
      <c r="V203" s="206">
        <v>36797</v>
      </c>
      <c r="W203" s="111">
        <v>239.0822</v>
      </c>
      <c r="X203" s="111">
        <f t="shared" si="79"/>
        <v>8797507.7134000007</v>
      </c>
      <c r="Y203" s="97" t="s">
        <v>452</v>
      </c>
      <c r="AA203" t="s">
        <v>25</v>
      </c>
      <c r="AI203" s="97">
        <v>183</v>
      </c>
      <c r="AJ203" s="111" t="s">
        <v>5133</v>
      </c>
      <c r="AK203" s="111">
        <v>50000</v>
      </c>
      <c r="AL203" s="97">
        <v>2</v>
      </c>
      <c r="AM203" s="20">
        <f t="shared" si="82"/>
        <v>682</v>
      </c>
      <c r="AN203" s="115">
        <f t="shared" si="83"/>
        <v>34100000</v>
      </c>
      <c r="AO203" s="20"/>
    </row>
    <row r="204" spans="7:46">
      <c r="G204" s="206" t="s">
        <v>5587</v>
      </c>
      <c r="H204" s="111">
        <v>10561447.246918</v>
      </c>
      <c r="P204" s="112"/>
      <c r="Q204" s="112"/>
      <c r="R204" s="188" t="s">
        <v>1069</v>
      </c>
      <c r="S204" s="188" t="s">
        <v>4767</v>
      </c>
      <c r="T204" s="193">
        <v>30000000</v>
      </c>
      <c r="U204" s="206" t="s">
        <v>4628</v>
      </c>
      <c r="V204" s="206">
        <v>28066</v>
      </c>
      <c r="W204" s="111">
        <v>237.56970000000001</v>
      </c>
      <c r="X204" s="111">
        <f t="shared" si="79"/>
        <v>6667631.2002000008</v>
      </c>
      <c r="Y204" s="97" t="s">
        <v>743</v>
      </c>
      <c r="AI204" s="97">
        <v>184</v>
      </c>
      <c r="AJ204" s="111" t="s">
        <v>5135</v>
      </c>
      <c r="AK204" s="111">
        <v>400000</v>
      </c>
      <c r="AL204" s="97">
        <v>8</v>
      </c>
      <c r="AM204" s="20">
        <f t="shared" ref="AM204:AM213" si="84">AM205+AL204</f>
        <v>680</v>
      </c>
      <c r="AN204" s="115">
        <f t="shared" ref="AN204:AN213" si="85">AK204*AM204</f>
        <v>272000000</v>
      </c>
      <c r="AO204" s="20"/>
      <c r="AS204" t="s">
        <v>25</v>
      </c>
    </row>
    <row r="205" spans="7:46">
      <c r="G205" s="206" t="s">
        <v>5588</v>
      </c>
      <c r="H205" s="111">
        <v>1226811.9176660001</v>
      </c>
      <c r="J205" t="s">
        <v>25</v>
      </c>
      <c r="K205" t="s">
        <v>25</v>
      </c>
      <c r="P205" s="112"/>
      <c r="Q205" s="112"/>
      <c r="R205" s="19" t="s">
        <v>4842</v>
      </c>
      <c r="S205" s="19" t="s">
        <v>4840</v>
      </c>
      <c r="T205" s="115">
        <v>2000000</v>
      </c>
      <c r="U205" s="206" t="s">
        <v>4628</v>
      </c>
      <c r="V205" s="206">
        <v>28066</v>
      </c>
      <c r="W205" s="111">
        <v>237.56970000000001</v>
      </c>
      <c r="X205" s="111">
        <f t="shared" si="79"/>
        <v>6667631.2002000008</v>
      </c>
      <c r="Y205" s="97" t="s">
        <v>452</v>
      </c>
      <c r="Z205" t="s">
        <v>25</v>
      </c>
      <c r="AI205" s="97">
        <v>185</v>
      </c>
      <c r="AJ205" s="111" t="s">
        <v>5111</v>
      </c>
      <c r="AK205" s="111">
        <v>-10000000</v>
      </c>
      <c r="AL205" s="97">
        <v>0</v>
      </c>
      <c r="AM205" s="20">
        <f t="shared" si="84"/>
        <v>672</v>
      </c>
      <c r="AN205" s="115">
        <f t="shared" si="85"/>
        <v>-6720000000</v>
      </c>
      <c r="AO205" s="20" t="s">
        <v>4956</v>
      </c>
    </row>
    <row r="206" spans="7:46">
      <c r="G206" s="206" t="s">
        <v>5589</v>
      </c>
      <c r="H206" s="111">
        <v>39373959.190266006</v>
      </c>
      <c r="J206" t="s">
        <v>25</v>
      </c>
      <c r="P206" s="112"/>
      <c r="Q206" s="112"/>
      <c r="R206" s="187" t="s">
        <v>4863</v>
      </c>
      <c r="S206" s="187" t="s">
        <v>4862</v>
      </c>
      <c r="T206" s="186">
        <v>480105</v>
      </c>
      <c r="U206" s="206" t="s">
        <v>3666</v>
      </c>
      <c r="V206" s="206">
        <v>37457</v>
      </c>
      <c r="W206" s="111">
        <v>239.77</v>
      </c>
      <c r="X206" s="111">
        <f t="shared" si="79"/>
        <v>8981064.8900000006</v>
      </c>
      <c r="Y206" s="97" t="s">
        <v>743</v>
      </c>
      <c r="AI206" s="97">
        <v>186</v>
      </c>
      <c r="AJ206" s="111" t="s">
        <v>5111</v>
      </c>
      <c r="AK206" s="111">
        <v>3000000</v>
      </c>
      <c r="AL206" s="97">
        <v>1</v>
      </c>
      <c r="AM206" s="20">
        <f t="shared" si="84"/>
        <v>672</v>
      </c>
      <c r="AN206" s="115">
        <f t="shared" si="85"/>
        <v>2016000000</v>
      </c>
      <c r="AO206" s="20"/>
    </row>
    <row r="207" spans="7:46">
      <c r="G207" s="206" t="s">
        <v>5594</v>
      </c>
      <c r="H207" s="111">
        <v>27703487.063980002</v>
      </c>
      <c r="P207" s="112"/>
      <c r="R207" s="187"/>
      <c r="S207" s="187" t="s">
        <v>4903</v>
      </c>
      <c r="T207" s="186">
        <v>30500000</v>
      </c>
      <c r="U207" s="206" t="s">
        <v>3666</v>
      </c>
      <c r="V207" s="206">
        <v>37457</v>
      </c>
      <c r="W207" s="111">
        <v>239.77</v>
      </c>
      <c r="X207" s="111">
        <f t="shared" si="79"/>
        <v>8981064.8900000006</v>
      </c>
      <c r="Y207" s="97" t="s">
        <v>452</v>
      </c>
      <c r="Z207" s="94" t="s">
        <v>25</v>
      </c>
      <c r="AI207" s="97">
        <v>187</v>
      </c>
      <c r="AJ207" s="111" t="s">
        <v>5147</v>
      </c>
      <c r="AK207" s="111">
        <v>500000</v>
      </c>
      <c r="AL207" s="97">
        <v>23</v>
      </c>
      <c r="AM207" s="20">
        <f t="shared" si="84"/>
        <v>671</v>
      </c>
      <c r="AN207" s="115">
        <f t="shared" si="85"/>
        <v>335500000</v>
      </c>
      <c r="AO207" s="20"/>
      <c r="AS207" t="s">
        <v>25</v>
      </c>
    </row>
    <row r="208" spans="7:46">
      <c r="G208" s="206" t="s">
        <v>5595</v>
      </c>
      <c r="H208" s="111">
        <v>8738896.6890719999</v>
      </c>
      <c r="P208" s="112"/>
      <c r="Q208" s="112"/>
      <c r="R208" s="19" t="s">
        <v>4931</v>
      </c>
      <c r="S208" s="19" t="s">
        <v>4926</v>
      </c>
      <c r="T208" s="115">
        <v>-400000</v>
      </c>
      <c r="U208" s="206" t="s">
        <v>4640</v>
      </c>
      <c r="V208" s="206">
        <v>38412</v>
      </c>
      <c r="W208" s="111">
        <v>239.03</v>
      </c>
      <c r="X208" s="111">
        <f t="shared" si="79"/>
        <v>9181620.3599999994</v>
      </c>
      <c r="Y208" s="97" t="s">
        <v>743</v>
      </c>
      <c r="Z208" t="s">
        <v>25</v>
      </c>
      <c r="AI208" s="97">
        <v>188</v>
      </c>
      <c r="AJ208" s="111" t="s">
        <v>5168</v>
      </c>
      <c r="AK208" s="111">
        <v>101268</v>
      </c>
      <c r="AL208" s="97">
        <v>1</v>
      </c>
      <c r="AM208" s="20">
        <f t="shared" si="84"/>
        <v>648</v>
      </c>
      <c r="AN208" s="115">
        <f t="shared" si="85"/>
        <v>65621664</v>
      </c>
      <c r="AO208" s="20"/>
      <c r="AS208" t="s">
        <v>25</v>
      </c>
    </row>
    <row r="209" spans="7:47">
      <c r="G209" s="206" t="s">
        <v>4182</v>
      </c>
      <c r="H209" s="111">
        <v>348201.66738</v>
      </c>
      <c r="P209" s="112"/>
      <c r="Q209" s="112"/>
      <c r="R209" s="187" t="s">
        <v>5040</v>
      </c>
      <c r="S209" s="187" t="s">
        <v>4961</v>
      </c>
      <c r="T209" s="186">
        <v>-349550</v>
      </c>
      <c r="U209" s="206" t="s">
        <v>4640</v>
      </c>
      <c r="V209" s="206">
        <v>38412</v>
      </c>
      <c r="W209" s="111">
        <v>239.03</v>
      </c>
      <c r="X209" s="111">
        <f t="shared" si="79"/>
        <v>9181620.3599999994</v>
      </c>
      <c r="Y209" s="97" t="s">
        <v>452</v>
      </c>
      <c r="AI209" s="97">
        <v>189</v>
      </c>
      <c r="AJ209" s="111" t="s">
        <v>5171</v>
      </c>
      <c r="AK209" s="111">
        <v>101000</v>
      </c>
      <c r="AL209" s="97">
        <v>34</v>
      </c>
      <c r="AM209" s="20">
        <f t="shared" si="84"/>
        <v>647</v>
      </c>
      <c r="AN209" s="115">
        <f t="shared" si="85"/>
        <v>65347000</v>
      </c>
      <c r="AO209" s="20"/>
      <c r="AQ209" t="s">
        <v>25</v>
      </c>
      <c r="AU209" s="94" t="s">
        <v>25</v>
      </c>
    </row>
    <row r="210" spans="7:47">
      <c r="G210" s="206" t="s">
        <v>5597</v>
      </c>
      <c r="H210" s="111">
        <v>4158090.8935679998</v>
      </c>
      <c r="R210" s="19" t="s">
        <v>4931</v>
      </c>
      <c r="S210" s="19" t="s">
        <v>5101</v>
      </c>
      <c r="T210" s="115">
        <v>-200000</v>
      </c>
      <c r="U210" s="206" t="s">
        <v>4643</v>
      </c>
      <c r="V210" s="206">
        <v>49555</v>
      </c>
      <c r="W210" s="111">
        <v>238.345</v>
      </c>
      <c r="X210" s="111">
        <f t="shared" si="79"/>
        <v>11811186.475</v>
      </c>
      <c r="Y210" s="97" t="s">
        <v>743</v>
      </c>
      <c r="AI210" s="97">
        <v>190</v>
      </c>
      <c r="AJ210" s="111" t="s">
        <v>5196</v>
      </c>
      <c r="AK210" s="111">
        <v>-488602</v>
      </c>
      <c r="AL210" s="97">
        <v>5</v>
      </c>
      <c r="AM210" s="20">
        <f t="shared" si="84"/>
        <v>613</v>
      </c>
      <c r="AN210" s="115">
        <f t="shared" si="85"/>
        <v>-299513026</v>
      </c>
      <c r="AO210" s="20"/>
      <c r="AS210" t="s">
        <v>25</v>
      </c>
    </row>
    <row r="211" spans="7:47">
      <c r="G211" s="206" t="s">
        <v>5601</v>
      </c>
      <c r="H211" s="111">
        <v>110770524.97879399</v>
      </c>
      <c r="O211" t="s">
        <v>25</v>
      </c>
      <c r="P211" s="112"/>
      <c r="Q211" s="112"/>
      <c r="R211" s="19" t="s">
        <v>4931</v>
      </c>
      <c r="S211" s="19" t="s">
        <v>5133</v>
      </c>
      <c r="T211" s="115">
        <v>-122000</v>
      </c>
      <c r="U211" s="206" t="s">
        <v>4643</v>
      </c>
      <c r="V211" s="206">
        <v>49555</v>
      </c>
      <c r="W211" s="111">
        <v>238.345</v>
      </c>
      <c r="X211" s="111">
        <f t="shared" si="79"/>
        <v>11811186.475</v>
      </c>
      <c r="Y211" s="97" t="s">
        <v>452</v>
      </c>
      <c r="AI211" s="97">
        <v>191</v>
      </c>
      <c r="AJ211" s="111" t="s">
        <v>5210</v>
      </c>
      <c r="AK211" s="111">
        <v>360000</v>
      </c>
      <c r="AL211" s="97">
        <v>10</v>
      </c>
      <c r="AM211" s="20">
        <f t="shared" si="84"/>
        <v>608</v>
      </c>
      <c r="AN211" s="115">
        <f t="shared" si="85"/>
        <v>218880000</v>
      </c>
      <c r="AO211" s="20"/>
      <c r="AS211" t="s">
        <v>25</v>
      </c>
    </row>
    <row r="212" spans="7:47">
      <c r="G212" s="206" t="s">
        <v>5613</v>
      </c>
      <c r="H212" s="111">
        <v>6684147.0064600008</v>
      </c>
      <c r="J212" t="s">
        <v>25</v>
      </c>
      <c r="P212" s="112"/>
      <c r="Q212" s="112"/>
      <c r="R212" s="19" t="s">
        <v>4931</v>
      </c>
      <c r="S212" s="19" t="s">
        <v>5141</v>
      </c>
      <c r="T212" s="115">
        <v>-700000</v>
      </c>
      <c r="U212" s="206" t="s">
        <v>4656</v>
      </c>
      <c r="V212" s="206">
        <v>160187</v>
      </c>
      <c r="W212" s="111">
        <v>257.49799999999999</v>
      </c>
      <c r="X212" s="111">
        <f t="shared" si="79"/>
        <v>41247832.126000002</v>
      </c>
      <c r="Y212" s="97" t="s">
        <v>743</v>
      </c>
      <c r="Z212" t="s">
        <v>25</v>
      </c>
      <c r="AI212" s="97">
        <v>192</v>
      </c>
      <c r="AJ212" s="111" t="s">
        <v>5220</v>
      </c>
      <c r="AK212" s="111">
        <v>-3600000</v>
      </c>
      <c r="AL212" s="97">
        <v>4</v>
      </c>
      <c r="AM212" s="20">
        <f t="shared" si="84"/>
        <v>598</v>
      </c>
      <c r="AN212" s="115">
        <f t="shared" si="85"/>
        <v>-2152800000</v>
      </c>
      <c r="AO212" s="20"/>
      <c r="AT212" t="s">
        <v>25</v>
      </c>
    </row>
    <row r="213" spans="7:47">
      <c r="G213" s="206" t="s">
        <v>5616</v>
      </c>
      <c r="H213" s="111">
        <v>1826535.2307560001</v>
      </c>
      <c r="J213" t="s">
        <v>25</v>
      </c>
      <c r="R213" s="19" t="s">
        <v>4931</v>
      </c>
      <c r="S213" s="19" t="s">
        <v>5151</v>
      </c>
      <c r="T213" s="115">
        <v>-60000</v>
      </c>
      <c r="U213" s="206" t="s">
        <v>4656</v>
      </c>
      <c r="V213" s="206">
        <v>160187</v>
      </c>
      <c r="W213" s="111">
        <v>257.49799999999999</v>
      </c>
      <c r="X213" s="111">
        <f t="shared" si="79"/>
        <v>41247832.126000002</v>
      </c>
      <c r="Y213" s="97" t="s">
        <v>452</v>
      </c>
      <c r="AB213" t="s">
        <v>25</v>
      </c>
      <c r="AI213" s="97">
        <v>193</v>
      </c>
      <c r="AJ213" s="111" t="s">
        <v>5226</v>
      </c>
      <c r="AK213" s="111">
        <v>-1000000</v>
      </c>
      <c r="AL213" s="97">
        <v>5</v>
      </c>
      <c r="AM213" s="20">
        <f t="shared" si="84"/>
        <v>594</v>
      </c>
      <c r="AN213" s="115">
        <f t="shared" si="85"/>
        <v>-594000000</v>
      </c>
      <c r="AO213" s="20"/>
      <c r="AS213" t="s">
        <v>25</v>
      </c>
    </row>
    <row r="214" spans="7:47">
      <c r="G214" s="206" t="s">
        <v>5620</v>
      </c>
      <c r="H214" s="111">
        <v>3577366.94</v>
      </c>
      <c r="P214" s="112"/>
      <c r="Q214" s="112"/>
      <c r="R214" s="19" t="s">
        <v>4406</v>
      </c>
      <c r="S214" s="19" t="s">
        <v>5210</v>
      </c>
      <c r="T214" s="115">
        <v>700000</v>
      </c>
      <c r="U214" s="206" t="s">
        <v>4663</v>
      </c>
      <c r="V214" s="206">
        <v>144401</v>
      </c>
      <c r="W214" s="111">
        <v>258.5061</v>
      </c>
      <c r="X214" s="111">
        <f t="shared" si="79"/>
        <v>37328539.346100003</v>
      </c>
      <c r="Y214" s="97" t="s">
        <v>743</v>
      </c>
      <c r="AA214" t="s">
        <v>25</v>
      </c>
      <c r="AI214" s="97">
        <v>194</v>
      </c>
      <c r="AJ214" s="111" t="s">
        <v>5231</v>
      </c>
      <c r="AK214" s="111">
        <v>360000</v>
      </c>
      <c r="AL214" s="97">
        <v>2</v>
      </c>
      <c r="AM214" s="20">
        <f t="shared" ref="AM214:AM274" si="86">AM215+AL214</f>
        <v>589</v>
      </c>
      <c r="AN214" s="115">
        <f t="shared" ref="AN214:AN274" si="87">AK214*AM214</f>
        <v>212040000</v>
      </c>
      <c r="AO214" s="20"/>
      <c r="AR214" t="s">
        <v>25</v>
      </c>
    </row>
    <row r="215" spans="7:47">
      <c r="G215" s="206" t="s">
        <v>5622</v>
      </c>
      <c r="H215" s="111">
        <v>21239029.173567999</v>
      </c>
      <c r="P215" s="112"/>
      <c r="R215" s="187" t="s">
        <v>1069</v>
      </c>
      <c r="S215" s="187" t="s">
        <v>5229</v>
      </c>
      <c r="T215" s="186">
        <v>40000000</v>
      </c>
      <c r="U215" s="206" t="s">
        <v>4663</v>
      </c>
      <c r="V215" s="206">
        <v>144401</v>
      </c>
      <c r="W215" s="111">
        <v>258.5061</v>
      </c>
      <c r="X215" s="111">
        <f t="shared" si="79"/>
        <v>37328539.346100003</v>
      </c>
      <c r="Y215" s="97" t="s">
        <v>452</v>
      </c>
      <c r="AI215" s="97">
        <v>195</v>
      </c>
      <c r="AJ215" s="111" t="s">
        <v>5236</v>
      </c>
      <c r="AK215" s="111">
        <v>2000000</v>
      </c>
      <c r="AL215" s="97">
        <v>1</v>
      </c>
      <c r="AM215" s="20">
        <f t="shared" si="86"/>
        <v>587</v>
      </c>
      <c r="AN215" s="115">
        <f t="shared" si="87"/>
        <v>1174000000</v>
      </c>
      <c r="AO215" s="20"/>
    </row>
    <row r="216" spans="7:47">
      <c r="G216" s="206" t="s">
        <v>5625</v>
      </c>
      <c r="H216" s="111">
        <v>242957252.40163299</v>
      </c>
      <c r="J216" t="s">
        <v>25</v>
      </c>
      <c r="R216" s="19" t="s">
        <v>4406</v>
      </c>
      <c r="S216" s="19" t="s">
        <v>5233</v>
      </c>
      <c r="T216" s="115">
        <v>-800000</v>
      </c>
      <c r="U216" s="166" t="s">
        <v>4669</v>
      </c>
      <c r="V216" s="166">
        <v>196500</v>
      </c>
      <c r="W216" s="111">
        <v>254.452</v>
      </c>
      <c r="X216" s="111">
        <f t="shared" si="79"/>
        <v>49999818</v>
      </c>
      <c r="Y216" s="97" t="s">
        <v>4671</v>
      </c>
      <c r="Z216" t="s">
        <v>25</v>
      </c>
      <c r="AI216" s="97">
        <v>196</v>
      </c>
      <c r="AJ216" s="111" t="s">
        <v>5238</v>
      </c>
      <c r="AK216" s="111">
        <v>20000000</v>
      </c>
      <c r="AL216" s="97">
        <v>0</v>
      </c>
      <c r="AM216" s="20">
        <f t="shared" si="86"/>
        <v>586</v>
      </c>
      <c r="AN216" s="115">
        <f t="shared" si="87"/>
        <v>11720000000</v>
      </c>
      <c r="AO216" s="20" t="s">
        <v>4670</v>
      </c>
      <c r="AS216" t="s">
        <v>25</v>
      </c>
    </row>
    <row r="217" spans="7:47">
      <c r="G217" s="206" t="s">
        <v>5629</v>
      </c>
      <c r="H217" s="111">
        <v>7357181.2750800001</v>
      </c>
      <c r="P217" s="112"/>
      <c r="R217" s="206" t="s">
        <v>4406</v>
      </c>
      <c r="S217" s="206" t="s">
        <v>5315</v>
      </c>
      <c r="T217" s="115">
        <v>700000</v>
      </c>
      <c r="U217" s="206" t="s">
        <v>4669</v>
      </c>
      <c r="V217" s="206">
        <v>2561</v>
      </c>
      <c r="W217" s="111">
        <v>254.536</v>
      </c>
      <c r="X217" s="111">
        <f t="shared" si="79"/>
        <v>651866.696</v>
      </c>
      <c r="Y217" s="97" t="s">
        <v>4672</v>
      </c>
      <c r="AI217" s="97">
        <v>197</v>
      </c>
      <c r="AJ217" s="111" t="s">
        <v>5238</v>
      </c>
      <c r="AK217" s="111">
        <v>-4700000</v>
      </c>
      <c r="AL217" s="97">
        <v>1</v>
      </c>
      <c r="AM217" s="20">
        <f t="shared" si="86"/>
        <v>586</v>
      </c>
      <c r="AN217" s="115">
        <f t="shared" si="87"/>
        <v>-2754200000</v>
      </c>
      <c r="AO217" s="20"/>
    </row>
    <row r="218" spans="7:47">
      <c r="G218" s="206" t="s">
        <v>5631</v>
      </c>
      <c r="H218" s="111">
        <v>14951411.942400001</v>
      </c>
      <c r="J218" t="s">
        <v>25</v>
      </c>
      <c r="Q218" s="112"/>
      <c r="R218" s="187" t="s">
        <v>5331</v>
      </c>
      <c r="S218" s="187" t="s">
        <v>5329</v>
      </c>
      <c r="T218" s="186">
        <v>-26000000</v>
      </c>
      <c r="U218" s="206" t="s">
        <v>4711</v>
      </c>
      <c r="V218" s="206">
        <v>-11795</v>
      </c>
      <c r="W218" s="111">
        <v>254.334</v>
      </c>
      <c r="X218" s="111">
        <f t="shared" si="79"/>
        <v>-2999869.5300000003</v>
      </c>
      <c r="Y218" s="97" t="s">
        <v>4712</v>
      </c>
      <c r="AB218" t="s">
        <v>25</v>
      </c>
      <c r="AI218" s="97">
        <v>198</v>
      </c>
      <c r="AJ218" s="111" t="s">
        <v>5241</v>
      </c>
      <c r="AK218" s="111">
        <v>3000000</v>
      </c>
      <c r="AL218" s="97">
        <v>4</v>
      </c>
      <c r="AM218" s="20">
        <f t="shared" si="86"/>
        <v>585</v>
      </c>
      <c r="AN218" s="115">
        <f t="shared" si="87"/>
        <v>1755000000</v>
      </c>
      <c r="AO218" s="20"/>
      <c r="AT218" t="s">
        <v>25</v>
      </c>
    </row>
    <row r="219" spans="7:47">
      <c r="G219" s="206" t="s">
        <v>5635</v>
      </c>
      <c r="H219" s="111">
        <v>47928209.377011999</v>
      </c>
      <c r="J219" t="s">
        <v>25</v>
      </c>
      <c r="Q219" s="112"/>
      <c r="R219" s="187" t="s">
        <v>5331</v>
      </c>
      <c r="S219" s="187" t="s">
        <v>5333</v>
      </c>
      <c r="T219" s="186">
        <v>-95900000</v>
      </c>
      <c r="U219" s="206" t="s">
        <v>4711</v>
      </c>
      <c r="V219" s="206">
        <v>11795</v>
      </c>
      <c r="W219" s="111">
        <v>254.334</v>
      </c>
      <c r="X219" s="111">
        <f t="shared" si="79"/>
        <v>2999869.5300000003</v>
      </c>
      <c r="Y219" s="97" t="s">
        <v>4713</v>
      </c>
      <c r="AI219" s="97">
        <v>199</v>
      </c>
      <c r="AJ219" s="111" t="s">
        <v>5243</v>
      </c>
      <c r="AK219" s="111">
        <v>1500000</v>
      </c>
      <c r="AL219" s="97">
        <v>1</v>
      </c>
      <c r="AM219" s="20">
        <f t="shared" si="86"/>
        <v>581</v>
      </c>
      <c r="AN219" s="115">
        <f t="shared" si="87"/>
        <v>871500000</v>
      </c>
      <c r="AO219" s="20"/>
    </row>
    <row r="220" spans="7:47">
      <c r="G220" s="206" t="s">
        <v>5637</v>
      </c>
      <c r="H220" s="111">
        <v>2281595.69937</v>
      </c>
      <c r="Q220" s="112"/>
      <c r="R220" s="187" t="s">
        <v>5331</v>
      </c>
      <c r="S220" s="187" t="s">
        <v>5334</v>
      </c>
      <c r="T220" s="186">
        <v>-28950000</v>
      </c>
      <c r="U220" s="206" t="s">
        <v>4725</v>
      </c>
      <c r="V220" s="206">
        <v>260</v>
      </c>
      <c r="W220" s="111">
        <v>263.19</v>
      </c>
      <c r="X220" s="111">
        <f t="shared" si="79"/>
        <v>68429.399999999994</v>
      </c>
      <c r="Y220" s="97" t="s">
        <v>452</v>
      </c>
      <c r="AI220" s="97">
        <v>200</v>
      </c>
      <c r="AJ220" s="111" t="s">
        <v>5245</v>
      </c>
      <c r="AK220" s="111">
        <v>30000000</v>
      </c>
      <c r="AL220" s="97">
        <v>33</v>
      </c>
      <c r="AM220" s="20">
        <f t="shared" si="86"/>
        <v>580</v>
      </c>
      <c r="AN220" s="115">
        <f t="shared" si="87"/>
        <v>17400000000</v>
      </c>
      <c r="AO220" s="20"/>
    </row>
    <row r="221" spans="7:47">
      <c r="G221" s="206" t="s">
        <v>5639</v>
      </c>
      <c r="H221" s="111">
        <v>2964916.035069</v>
      </c>
      <c r="P221" s="112"/>
      <c r="Q221" s="112"/>
      <c r="R221" s="187" t="s">
        <v>5350</v>
      </c>
      <c r="S221" s="187" t="s">
        <v>5348</v>
      </c>
      <c r="T221" s="186">
        <v>1896188</v>
      </c>
      <c r="U221" s="206" t="s">
        <v>4734</v>
      </c>
      <c r="V221" s="206">
        <v>15257</v>
      </c>
      <c r="W221" s="111">
        <v>262.19018</v>
      </c>
      <c r="X221" s="111">
        <f t="shared" si="79"/>
        <v>4000235.57626</v>
      </c>
      <c r="Y221" s="97" t="s">
        <v>452</v>
      </c>
      <c r="AI221" s="97">
        <v>201</v>
      </c>
      <c r="AJ221" s="111" t="s">
        <v>5319</v>
      </c>
      <c r="AK221" s="111">
        <v>3000000</v>
      </c>
      <c r="AL221" s="97">
        <v>1</v>
      </c>
      <c r="AM221" s="20">
        <f t="shared" si="86"/>
        <v>547</v>
      </c>
      <c r="AN221" s="115">
        <f t="shared" si="87"/>
        <v>1641000000</v>
      </c>
      <c r="AO221" s="20"/>
    </row>
    <row r="222" spans="7:47">
      <c r="G222" s="206" t="s">
        <v>5640</v>
      </c>
      <c r="H222" s="111">
        <v>6460549.4269619994</v>
      </c>
      <c r="K222" t="s">
        <v>25</v>
      </c>
      <c r="P222" s="112"/>
      <c r="Q222" s="112"/>
      <c r="R222" s="187" t="s">
        <v>5515</v>
      </c>
      <c r="S222" s="187" t="s">
        <v>4209</v>
      </c>
      <c r="T222" s="186">
        <v>13752871.322800001</v>
      </c>
      <c r="U222" s="206" t="s">
        <v>4734</v>
      </c>
      <c r="V222" s="206">
        <v>8444</v>
      </c>
      <c r="W222" s="111">
        <v>266.43029999999999</v>
      </c>
      <c r="X222" s="111">
        <f t="shared" si="79"/>
        <v>2249737.4531999999</v>
      </c>
      <c r="Y222" s="97" t="s">
        <v>452</v>
      </c>
      <c r="AI222" s="97">
        <v>202</v>
      </c>
      <c r="AJ222" s="111" t="s">
        <v>5320</v>
      </c>
      <c r="AK222" s="111">
        <v>7000000</v>
      </c>
      <c r="AL222" s="97">
        <v>4</v>
      </c>
      <c r="AM222" s="20">
        <f t="shared" si="86"/>
        <v>546</v>
      </c>
      <c r="AN222" s="115">
        <f t="shared" si="87"/>
        <v>3822000000</v>
      </c>
      <c r="AO222" s="20"/>
    </row>
    <row r="223" spans="7:47">
      <c r="G223" s="206" t="s">
        <v>5642</v>
      </c>
      <c r="H223" s="111">
        <v>5212319.8968359996</v>
      </c>
      <c r="P223" s="112"/>
      <c r="Q223" s="112"/>
      <c r="R223" s="19" t="s">
        <v>5527</v>
      </c>
      <c r="S223" s="19" t="s">
        <v>5524</v>
      </c>
      <c r="T223" s="115">
        <v>3123901.3702000002</v>
      </c>
      <c r="U223" s="380" t="s">
        <v>4739</v>
      </c>
      <c r="V223" s="380">
        <v>-6209</v>
      </c>
      <c r="W223" s="90">
        <v>273.79649999999998</v>
      </c>
      <c r="X223" s="90">
        <f t="shared" si="79"/>
        <v>-1700002.4685</v>
      </c>
      <c r="Y223" s="89" t="s">
        <v>6624</v>
      </c>
      <c r="AI223" s="97">
        <v>203</v>
      </c>
      <c r="AJ223" s="111" t="s">
        <v>5328</v>
      </c>
      <c r="AK223" s="111">
        <v>8800000</v>
      </c>
      <c r="AL223" s="97">
        <v>2</v>
      </c>
      <c r="AM223" s="20">
        <f t="shared" si="86"/>
        <v>542</v>
      </c>
      <c r="AN223" s="115">
        <f t="shared" si="87"/>
        <v>4769600000</v>
      </c>
      <c r="AO223" s="20"/>
    </row>
    <row r="224" spans="7:47" ht="28.5" customHeight="1">
      <c r="G224" s="206" t="s">
        <v>5645</v>
      </c>
      <c r="H224" s="111">
        <v>4524496.4792809999</v>
      </c>
      <c r="J224" t="s">
        <v>25</v>
      </c>
      <c r="P224" s="112"/>
      <c r="Q224" s="112"/>
      <c r="R224" s="187" t="s">
        <v>5852</v>
      </c>
      <c r="S224" s="187" t="s">
        <v>5598</v>
      </c>
      <c r="T224" s="186">
        <v>-322076.40905199997</v>
      </c>
      <c r="U224" s="206" t="s">
        <v>4739</v>
      </c>
      <c r="V224" s="206">
        <v>-8014</v>
      </c>
      <c r="W224" s="111">
        <v>273.79649999999998</v>
      </c>
      <c r="X224" s="111">
        <f t="shared" si="79"/>
        <v>-2194205.1510000001</v>
      </c>
      <c r="Y224" s="97" t="s">
        <v>743</v>
      </c>
      <c r="AI224" s="97">
        <v>204</v>
      </c>
      <c r="AJ224" s="111" t="s">
        <v>5333</v>
      </c>
      <c r="AK224" s="111">
        <v>40000000</v>
      </c>
      <c r="AL224" s="97">
        <v>8</v>
      </c>
      <c r="AM224" s="20">
        <f t="shared" si="86"/>
        <v>540</v>
      </c>
      <c r="AN224" s="115">
        <f t="shared" si="87"/>
        <v>21600000000</v>
      </c>
      <c r="AO224" s="20" t="s">
        <v>4670</v>
      </c>
    </row>
    <row r="225" spans="4:46">
      <c r="G225" s="206" t="s">
        <v>5647</v>
      </c>
      <c r="H225" s="111">
        <v>22866040.240959998</v>
      </c>
      <c r="P225" s="112"/>
      <c r="Q225" s="112"/>
      <c r="R225" s="19" t="s">
        <v>4931</v>
      </c>
      <c r="S225" s="19" t="s">
        <v>5598</v>
      </c>
      <c r="T225" s="115">
        <v>-1500000</v>
      </c>
      <c r="U225" s="206" t="s">
        <v>4748</v>
      </c>
      <c r="V225" s="206">
        <v>-9176</v>
      </c>
      <c r="W225" s="111">
        <v>273.79649999999998</v>
      </c>
      <c r="X225" s="111">
        <f t="shared" si="79"/>
        <v>-2512356.6839999999</v>
      </c>
      <c r="Y225" s="97" t="s">
        <v>452</v>
      </c>
      <c r="AI225" s="97">
        <v>205</v>
      </c>
      <c r="AJ225" s="111" t="s">
        <v>5348</v>
      </c>
      <c r="AK225" s="111">
        <v>400000</v>
      </c>
      <c r="AL225" s="97">
        <v>17</v>
      </c>
      <c r="AM225" s="20">
        <f t="shared" si="86"/>
        <v>532</v>
      </c>
      <c r="AN225" s="115">
        <f t="shared" si="87"/>
        <v>212800000</v>
      </c>
      <c r="AO225" s="20"/>
      <c r="AS225" t="s">
        <v>25</v>
      </c>
    </row>
    <row r="226" spans="4:46">
      <c r="G226" s="206" t="s">
        <v>5649</v>
      </c>
      <c r="H226" s="111">
        <v>15359304.269892</v>
      </c>
      <c r="J226" t="s">
        <v>25</v>
      </c>
      <c r="P226" s="112"/>
      <c r="Q226" s="112"/>
      <c r="R226" s="187" t="s">
        <v>5612</v>
      </c>
      <c r="S226" s="187" t="s">
        <v>5598</v>
      </c>
      <c r="T226" s="186">
        <v>15000000</v>
      </c>
      <c r="U226" s="206" t="s">
        <v>4748</v>
      </c>
      <c r="V226" s="206">
        <v>1087</v>
      </c>
      <c r="W226" s="111">
        <v>273.79649999999998</v>
      </c>
      <c r="X226" s="111">
        <f t="shared" si="79"/>
        <v>297616.79550000001</v>
      </c>
      <c r="Y226" s="97" t="s">
        <v>452</v>
      </c>
      <c r="AI226" s="97">
        <v>206</v>
      </c>
      <c r="AJ226" s="111" t="s">
        <v>5368</v>
      </c>
      <c r="AK226" s="111">
        <v>-20000000</v>
      </c>
      <c r="AL226" s="97">
        <v>18</v>
      </c>
      <c r="AM226" s="20">
        <f t="shared" si="86"/>
        <v>515</v>
      </c>
      <c r="AN226" s="115">
        <f t="shared" si="87"/>
        <v>-10300000000</v>
      </c>
      <c r="AO226" s="20" t="s">
        <v>4956</v>
      </c>
    </row>
    <row r="227" spans="4:46">
      <c r="D227" s="94"/>
      <c r="E227" s="94"/>
      <c r="G227" s="206" t="s">
        <v>5651</v>
      </c>
      <c r="H227" s="111">
        <v>2868508.1846330003</v>
      </c>
      <c r="P227" s="112"/>
      <c r="R227" s="187" t="s">
        <v>5627</v>
      </c>
      <c r="S227" s="187" t="s">
        <v>5622</v>
      </c>
      <c r="T227" s="186">
        <v>-1500000</v>
      </c>
      <c r="U227" s="380" t="s">
        <v>964</v>
      </c>
      <c r="V227" s="380">
        <v>-4017</v>
      </c>
      <c r="W227" s="90">
        <v>273.79649999999998</v>
      </c>
      <c r="X227" s="90">
        <f t="shared" si="79"/>
        <v>-1099840.5404999999</v>
      </c>
      <c r="Y227" s="89" t="s">
        <v>4406</v>
      </c>
      <c r="AI227" s="97">
        <v>207</v>
      </c>
      <c r="AJ227" s="111" t="s">
        <v>5382</v>
      </c>
      <c r="AK227" s="111">
        <v>3006000</v>
      </c>
      <c r="AL227" s="97">
        <v>19</v>
      </c>
      <c r="AM227" s="20">
        <f t="shared" si="86"/>
        <v>497</v>
      </c>
      <c r="AN227" s="115">
        <f t="shared" si="87"/>
        <v>1493982000</v>
      </c>
      <c r="AO227" s="20"/>
    </row>
    <row r="228" spans="4:46">
      <c r="D228" s="94"/>
      <c r="E228" s="94"/>
      <c r="G228" s="206" t="s">
        <v>5652</v>
      </c>
      <c r="H228" s="111">
        <v>17450393.011856001</v>
      </c>
      <c r="P228" s="112"/>
      <c r="R228" s="187" t="s">
        <v>5706</v>
      </c>
      <c r="S228" s="187" t="s">
        <v>5704</v>
      </c>
      <c r="T228" s="186">
        <v>-70000</v>
      </c>
      <c r="U228" s="206" t="s">
        <v>964</v>
      </c>
      <c r="V228" s="206">
        <v>4017</v>
      </c>
      <c r="W228" s="111">
        <v>273.79649999999998</v>
      </c>
      <c r="X228" s="111">
        <f t="shared" si="79"/>
        <v>1099840.5404999999</v>
      </c>
      <c r="Y228" s="97" t="s">
        <v>452</v>
      </c>
      <c r="AI228" s="97">
        <v>208</v>
      </c>
      <c r="AJ228" s="111" t="s">
        <v>5281</v>
      </c>
      <c r="AK228" s="111">
        <v>-130382924</v>
      </c>
      <c r="AL228" s="97">
        <v>0</v>
      </c>
      <c r="AM228" s="20">
        <f t="shared" si="86"/>
        <v>478</v>
      </c>
      <c r="AN228" s="115">
        <f t="shared" si="87"/>
        <v>-62323037672</v>
      </c>
      <c r="AO228" s="20" t="s">
        <v>5405</v>
      </c>
      <c r="AS228" t="s">
        <v>25</v>
      </c>
    </row>
    <row r="229" spans="4:46">
      <c r="D229" s="94"/>
      <c r="E229" s="94"/>
      <c r="F229" s="94"/>
      <c r="G229" s="206" t="s">
        <v>5653</v>
      </c>
      <c r="H229" s="111">
        <v>31388943.254850004</v>
      </c>
      <c r="J229" t="s">
        <v>25</v>
      </c>
      <c r="P229" s="112"/>
      <c r="Q229" s="112"/>
      <c r="R229" s="187" t="s">
        <v>5712</v>
      </c>
      <c r="S229" s="187" t="s">
        <v>5710</v>
      </c>
      <c r="T229" s="186">
        <v>1300000</v>
      </c>
      <c r="U229" s="206" t="s">
        <v>4754</v>
      </c>
      <c r="V229" s="206">
        <v>3137</v>
      </c>
      <c r="W229" s="111">
        <v>283.69110000000001</v>
      </c>
      <c r="X229" s="111">
        <f t="shared" si="79"/>
        <v>889938.98070000007</v>
      </c>
      <c r="Y229" s="97" t="s">
        <v>452</v>
      </c>
      <c r="Z229" t="s">
        <v>25</v>
      </c>
      <c r="AI229" s="97">
        <v>209</v>
      </c>
      <c r="AJ229" s="111" t="s">
        <v>5281</v>
      </c>
      <c r="AK229" s="111">
        <v>125000000</v>
      </c>
      <c r="AL229" s="97">
        <v>1</v>
      </c>
      <c r="AM229" s="20">
        <f t="shared" si="86"/>
        <v>478</v>
      </c>
      <c r="AN229" s="115">
        <f t="shared" si="87"/>
        <v>59750000000</v>
      </c>
      <c r="AO229" s="20"/>
      <c r="AS229" t="s">
        <v>25</v>
      </c>
    </row>
    <row r="230" spans="4:46">
      <c r="D230" s="94"/>
      <c r="E230" s="94"/>
      <c r="F230" s="94"/>
      <c r="G230" s="206" t="s">
        <v>5654</v>
      </c>
      <c r="H230" s="111">
        <v>30912095.373174001</v>
      </c>
      <c r="Q230" s="112"/>
      <c r="R230" s="187" t="s">
        <v>60</v>
      </c>
      <c r="S230" s="187" t="s">
        <v>5718</v>
      </c>
      <c r="T230" s="186">
        <v>90000000</v>
      </c>
      <c r="U230" s="206" t="s">
        <v>4767</v>
      </c>
      <c r="V230" s="206">
        <v>101933</v>
      </c>
      <c r="W230" s="111">
        <v>294.30973999999998</v>
      </c>
      <c r="X230" s="111">
        <f t="shared" si="79"/>
        <v>29999874.727419998</v>
      </c>
      <c r="Y230" s="97" t="s">
        <v>1069</v>
      </c>
      <c r="Z230" t="s">
        <v>25</v>
      </c>
      <c r="AI230" s="97">
        <v>210</v>
      </c>
      <c r="AJ230" s="111" t="s">
        <v>5404</v>
      </c>
      <c r="AK230" s="111">
        <v>7200000</v>
      </c>
      <c r="AL230" s="97">
        <v>15</v>
      </c>
      <c r="AM230" s="20">
        <f t="shared" si="86"/>
        <v>477</v>
      </c>
      <c r="AN230" s="115">
        <f t="shared" si="87"/>
        <v>3434400000</v>
      </c>
      <c r="AO230" s="20"/>
      <c r="AR230" t="s">
        <v>25</v>
      </c>
      <c r="AT230" t="s">
        <v>25</v>
      </c>
    </row>
    <row r="231" spans="4:46">
      <c r="D231" s="94"/>
      <c r="E231" s="94"/>
      <c r="F231" s="94"/>
      <c r="G231" s="206" t="s">
        <v>5656</v>
      </c>
      <c r="H231" s="111">
        <v>19602926.115093999</v>
      </c>
      <c r="K231" t="s">
        <v>25</v>
      </c>
      <c r="R231" s="187" t="s">
        <v>5803</v>
      </c>
      <c r="S231" s="187" t="s">
        <v>5799</v>
      </c>
      <c r="T231" s="186">
        <v>33832510.64875</v>
      </c>
      <c r="U231" s="206" t="s">
        <v>4774</v>
      </c>
      <c r="V231" s="206">
        <v>3407</v>
      </c>
      <c r="W231" s="111">
        <v>293.43799999999999</v>
      </c>
      <c r="X231" s="111">
        <f t="shared" si="79"/>
        <v>999743.26599999995</v>
      </c>
      <c r="Y231" s="97" t="s">
        <v>452</v>
      </c>
      <c r="AI231" s="97">
        <v>211</v>
      </c>
      <c r="AJ231" s="111" t="s">
        <v>5423</v>
      </c>
      <c r="AK231" s="111">
        <v>2050000</v>
      </c>
      <c r="AL231" s="97">
        <v>7</v>
      </c>
      <c r="AM231" s="20">
        <f t="shared" si="86"/>
        <v>462</v>
      </c>
      <c r="AN231" s="115">
        <f t="shared" si="87"/>
        <v>947100000</v>
      </c>
      <c r="AO231" s="20"/>
      <c r="AS231" t="s">
        <v>25</v>
      </c>
      <c r="AT231" t="s">
        <v>25</v>
      </c>
    </row>
    <row r="232" spans="4:46">
      <c r="D232" s="94"/>
      <c r="E232" s="94"/>
      <c r="F232" s="94"/>
      <c r="G232" s="206" t="s">
        <v>5660</v>
      </c>
      <c r="H232" s="111">
        <v>34458590.308710001</v>
      </c>
      <c r="P232" s="112"/>
      <c r="R232" s="187" t="s">
        <v>5818</v>
      </c>
      <c r="S232" s="187" t="s">
        <v>5815</v>
      </c>
      <c r="T232" s="186">
        <v>21634932</v>
      </c>
      <c r="U232" s="206" t="s">
        <v>4775</v>
      </c>
      <c r="V232" s="206">
        <v>68796</v>
      </c>
      <c r="W232" s="111">
        <v>293.53250000000003</v>
      </c>
      <c r="X232" s="111">
        <f t="shared" si="79"/>
        <v>20193861.870000001</v>
      </c>
      <c r="Y232" s="97" t="s">
        <v>743</v>
      </c>
      <c r="AI232" s="97">
        <v>212</v>
      </c>
      <c r="AJ232" s="111" t="s">
        <v>5440</v>
      </c>
      <c r="AK232" s="111">
        <v>50000000</v>
      </c>
      <c r="AL232" s="97">
        <v>24</v>
      </c>
      <c r="AM232" s="20">
        <f t="shared" si="86"/>
        <v>455</v>
      </c>
      <c r="AN232" s="115">
        <f t="shared" si="87"/>
        <v>22750000000</v>
      </c>
      <c r="AO232" s="20" t="s">
        <v>4670</v>
      </c>
    </row>
    <row r="233" spans="4:46">
      <c r="D233" s="94"/>
      <c r="E233" s="94"/>
      <c r="F233" s="94"/>
      <c r="G233" s="206" t="s">
        <v>5662</v>
      </c>
      <c r="H233" s="111">
        <v>21697868.203256</v>
      </c>
      <c r="P233" s="112"/>
      <c r="R233" s="187" t="s">
        <v>4727</v>
      </c>
      <c r="S233" s="187" t="s">
        <v>5815</v>
      </c>
      <c r="T233" s="186">
        <v>-22520813.151772</v>
      </c>
      <c r="U233" s="206" t="s">
        <v>4775</v>
      </c>
      <c r="V233" s="206">
        <v>154791</v>
      </c>
      <c r="W233" s="111">
        <v>293.53250000000003</v>
      </c>
      <c r="X233" s="111">
        <f t="shared" si="79"/>
        <v>45436189.207500003</v>
      </c>
      <c r="Y233" s="97" t="s">
        <v>452</v>
      </c>
      <c r="AI233" s="97">
        <v>213</v>
      </c>
      <c r="AJ233" s="111" t="s">
        <v>5476</v>
      </c>
      <c r="AK233" s="111">
        <v>-58196600</v>
      </c>
      <c r="AL233" s="97">
        <v>22</v>
      </c>
      <c r="AM233" s="20">
        <f t="shared" si="86"/>
        <v>431</v>
      </c>
      <c r="AN233" s="115">
        <f t="shared" si="87"/>
        <v>-25082734600</v>
      </c>
      <c r="AO233" s="20" t="s">
        <v>4849</v>
      </c>
    </row>
    <row r="234" spans="4:46">
      <c r="F234" s="94"/>
      <c r="G234" s="206" t="s">
        <v>5664</v>
      </c>
      <c r="H234" s="111">
        <v>25340079.252110001</v>
      </c>
      <c r="R234" s="19" t="s">
        <v>6395</v>
      </c>
      <c r="S234" s="19" t="s">
        <v>6393</v>
      </c>
      <c r="T234" s="115">
        <v>-6000000</v>
      </c>
      <c r="U234" s="206" t="s">
        <v>4775</v>
      </c>
      <c r="V234" s="206">
        <v>-11923</v>
      </c>
      <c r="W234" s="111">
        <v>293.53250000000003</v>
      </c>
      <c r="X234" s="111">
        <f t="shared" si="79"/>
        <v>-3499787.9975000005</v>
      </c>
      <c r="Y234" s="97" t="s">
        <v>452</v>
      </c>
      <c r="AI234" s="97">
        <v>214</v>
      </c>
      <c r="AJ234" s="111" t="s">
        <v>5517</v>
      </c>
      <c r="AK234" s="111">
        <v>25000</v>
      </c>
      <c r="AL234" s="97">
        <v>8</v>
      </c>
      <c r="AM234" s="20">
        <f t="shared" si="86"/>
        <v>409</v>
      </c>
      <c r="AN234" s="115">
        <f t="shared" si="87"/>
        <v>10225000</v>
      </c>
      <c r="AO234" s="20"/>
    </row>
    <row r="235" spans="4:46">
      <c r="F235" s="94"/>
      <c r="G235" s="206" t="s">
        <v>5665</v>
      </c>
      <c r="H235" s="111">
        <v>14780983.183526</v>
      </c>
      <c r="R235" s="187" t="s">
        <v>5366</v>
      </c>
      <c r="S235" s="187" t="s">
        <v>6478</v>
      </c>
      <c r="T235" s="186">
        <v>130888.351165</v>
      </c>
      <c r="U235" s="206" t="s">
        <v>4787</v>
      </c>
      <c r="V235" s="206">
        <v>8424</v>
      </c>
      <c r="W235" s="111">
        <v>299.15170000000001</v>
      </c>
      <c r="X235" s="111">
        <f t="shared" si="79"/>
        <v>2520053.9208</v>
      </c>
      <c r="Y235" s="97" t="s">
        <v>452</v>
      </c>
      <c r="AI235" s="97">
        <v>215</v>
      </c>
      <c r="AJ235" s="111" t="s">
        <v>5538</v>
      </c>
      <c r="AK235" s="111">
        <v>70000</v>
      </c>
      <c r="AL235" s="97">
        <v>6</v>
      </c>
      <c r="AM235" s="20">
        <f t="shared" si="86"/>
        <v>401</v>
      </c>
      <c r="AN235" s="115">
        <f t="shared" si="87"/>
        <v>28070000</v>
      </c>
      <c r="AO235" s="20"/>
    </row>
    <row r="236" spans="4:46">
      <c r="G236" s="206" t="s">
        <v>5668</v>
      </c>
      <c r="H236" s="111">
        <v>17804396.448481999</v>
      </c>
      <c r="R236" s="187" t="s">
        <v>6586</v>
      </c>
      <c r="S236" s="187" t="s">
        <v>6582</v>
      </c>
      <c r="T236" s="186">
        <v>50000000</v>
      </c>
      <c r="U236" s="206" t="s">
        <v>4822</v>
      </c>
      <c r="V236" s="206">
        <v>15943</v>
      </c>
      <c r="W236" s="111">
        <v>307.34415000000001</v>
      </c>
      <c r="X236" s="111">
        <f t="shared" si="79"/>
        <v>4899987.78345</v>
      </c>
      <c r="Y236" s="97" t="s">
        <v>452</v>
      </c>
      <c r="AI236" s="97">
        <v>216</v>
      </c>
      <c r="AJ236" s="111" t="s">
        <v>5543</v>
      </c>
      <c r="AK236" s="111">
        <v>70000</v>
      </c>
      <c r="AL236" s="97">
        <v>1</v>
      </c>
      <c r="AM236" s="20">
        <f t="shared" si="86"/>
        <v>395</v>
      </c>
      <c r="AN236" s="115">
        <f t="shared" si="87"/>
        <v>27650000</v>
      </c>
      <c r="AO236" s="20"/>
      <c r="AS236" t="s">
        <v>25</v>
      </c>
    </row>
    <row r="237" spans="4:46">
      <c r="G237" s="206" t="s">
        <v>5671</v>
      </c>
      <c r="H237" s="111">
        <v>11538335.631417999</v>
      </c>
      <c r="R237" s="19" t="s">
        <v>6612</v>
      </c>
      <c r="S237" s="19" t="s">
        <v>6611</v>
      </c>
      <c r="T237" s="115">
        <v>96000</v>
      </c>
      <c r="U237" s="206" t="s">
        <v>4835</v>
      </c>
      <c r="V237" s="206">
        <v>3741</v>
      </c>
      <c r="W237" s="111">
        <v>307.34415000000001</v>
      </c>
      <c r="X237" s="111">
        <f t="shared" si="79"/>
        <v>1149774.4651500001</v>
      </c>
      <c r="Y237" s="97" t="s">
        <v>452</v>
      </c>
      <c r="AA237" t="s">
        <v>25</v>
      </c>
      <c r="AI237" s="97">
        <v>217</v>
      </c>
      <c r="AJ237" s="111" t="s">
        <v>5532</v>
      </c>
      <c r="AK237" s="111">
        <v>150000</v>
      </c>
      <c r="AL237" s="97">
        <v>0</v>
      </c>
      <c r="AM237" s="20">
        <f t="shared" si="86"/>
        <v>394</v>
      </c>
      <c r="AN237" s="115">
        <f t="shared" si="87"/>
        <v>59100000</v>
      </c>
      <c r="AO237" s="20"/>
      <c r="AR237" t="s">
        <v>25</v>
      </c>
      <c r="AT237" t="s">
        <v>25</v>
      </c>
    </row>
    <row r="238" spans="4:46">
      <c r="G238" s="206" t="s">
        <v>5672</v>
      </c>
      <c r="H238" s="111">
        <v>12429517.767776001</v>
      </c>
      <c r="R238" s="187" t="s">
        <v>7037</v>
      </c>
      <c r="S238" s="187" t="s">
        <v>7034</v>
      </c>
      <c r="T238" s="186">
        <v>-40615000</v>
      </c>
      <c r="U238" s="206" t="s">
        <v>4840</v>
      </c>
      <c r="V238" s="206">
        <v>-6207</v>
      </c>
      <c r="W238" s="111">
        <v>322.214</v>
      </c>
      <c r="X238" s="111">
        <f t="shared" si="79"/>
        <v>-1999982.298</v>
      </c>
      <c r="Y238" s="97" t="s">
        <v>743</v>
      </c>
      <c r="AI238" s="97">
        <v>218</v>
      </c>
      <c r="AJ238" s="111" t="s">
        <v>5532</v>
      </c>
      <c r="AK238" s="111">
        <v>-95599450</v>
      </c>
      <c r="AL238" s="97">
        <v>7</v>
      </c>
      <c r="AM238" s="20">
        <f t="shared" si="86"/>
        <v>394</v>
      </c>
      <c r="AN238" s="115">
        <f t="shared" si="87"/>
        <v>-37666183300</v>
      </c>
      <c r="AO238" s="20" t="s">
        <v>5546</v>
      </c>
      <c r="AS238" t="s">
        <v>25</v>
      </c>
    </row>
    <row r="239" spans="4:46">
      <c r="G239" s="206" t="s">
        <v>5680</v>
      </c>
      <c r="H239" s="111">
        <v>5031176.5087869996</v>
      </c>
      <c r="J239" t="s">
        <v>25</v>
      </c>
      <c r="R239" s="187" t="s">
        <v>7064</v>
      </c>
      <c r="S239" s="187" t="s">
        <v>7063</v>
      </c>
      <c r="T239" s="186">
        <v>7300000</v>
      </c>
      <c r="U239" s="206" t="s">
        <v>4840</v>
      </c>
      <c r="V239" s="206">
        <v>6207</v>
      </c>
      <c r="W239" s="111">
        <v>322.214</v>
      </c>
      <c r="X239" s="111">
        <f t="shared" si="79"/>
        <v>1999982.298</v>
      </c>
      <c r="Y239" s="97" t="s">
        <v>4406</v>
      </c>
      <c r="AI239" s="97">
        <v>219</v>
      </c>
      <c r="AJ239" s="111" t="s">
        <v>5554</v>
      </c>
      <c r="AK239" s="111">
        <v>200000</v>
      </c>
      <c r="AL239" s="97">
        <v>7</v>
      </c>
      <c r="AM239" s="20">
        <f t="shared" si="86"/>
        <v>387</v>
      </c>
      <c r="AN239" s="115">
        <f t="shared" si="87"/>
        <v>77400000</v>
      </c>
      <c r="AO239" s="20"/>
      <c r="AS239" t="s">
        <v>25</v>
      </c>
    </row>
    <row r="240" spans="4:46">
      <c r="G240" s="206" t="s">
        <v>5682</v>
      </c>
      <c r="H240" s="111">
        <v>6822803.9080700008</v>
      </c>
      <c r="J240" t="s">
        <v>25</v>
      </c>
      <c r="R240" s="19"/>
      <c r="S240" s="19"/>
      <c r="T240" s="115"/>
      <c r="U240" s="206" t="s">
        <v>4794</v>
      </c>
      <c r="V240" s="206">
        <v>776</v>
      </c>
      <c r="W240" s="111">
        <v>322.214</v>
      </c>
      <c r="X240" s="111">
        <f t="shared" si="79"/>
        <v>250038.06400000001</v>
      </c>
      <c r="Y240" s="97" t="s">
        <v>452</v>
      </c>
      <c r="AI240" s="97">
        <v>220</v>
      </c>
      <c r="AJ240" s="111" t="s">
        <v>5559</v>
      </c>
      <c r="AK240" s="111">
        <v>150000</v>
      </c>
      <c r="AL240" s="97">
        <v>5</v>
      </c>
      <c r="AM240" s="20">
        <f t="shared" si="86"/>
        <v>380</v>
      </c>
      <c r="AN240" s="115">
        <f t="shared" si="87"/>
        <v>57000000</v>
      </c>
      <c r="AO240" s="20"/>
    </row>
    <row r="241" spans="7:47">
      <c r="G241" s="206" t="s">
        <v>5686</v>
      </c>
      <c r="H241" s="111">
        <v>330889.73324399994</v>
      </c>
      <c r="R241" s="19"/>
      <c r="S241" s="19"/>
      <c r="T241" s="115"/>
      <c r="U241" s="206" t="s">
        <v>4862</v>
      </c>
      <c r="V241" s="206">
        <v>1524</v>
      </c>
      <c r="W241" s="111">
        <v>314.95999999999998</v>
      </c>
      <c r="X241" s="111">
        <f t="shared" si="79"/>
        <v>479999.04</v>
      </c>
      <c r="Y241" s="97" t="s">
        <v>1069</v>
      </c>
      <c r="AI241" s="97">
        <v>221</v>
      </c>
      <c r="AJ241" s="111" t="s">
        <v>5562</v>
      </c>
      <c r="AK241" s="111">
        <v>310000</v>
      </c>
      <c r="AL241" s="97">
        <v>31</v>
      </c>
      <c r="AM241" s="20">
        <f t="shared" si="86"/>
        <v>375</v>
      </c>
      <c r="AN241" s="115">
        <f t="shared" si="87"/>
        <v>116250000</v>
      </c>
      <c r="AO241" s="20"/>
      <c r="AS241" t="s">
        <v>25</v>
      </c>
    </row>
    <row r="242" spans="7:47">
      <c r="G242" s="206" t="s">
        <v>5695</v>
      </c>
      <c r="H242" s="111">
        <v>6610318.1610199995</v>
      </c>
      <c r="R242" s="206" t="s">
        <v>25</v>
      </c>
      <c r="S242" s="206"/>
      <c r="T242" s="111"/>
      <c r="U242" s="206" t="s">
        <v>4869</v>
      </c>
      <c r="V242" s="206">
        <v>4435</v>
      </c>
      <c r="W242" s="111">
        <v>316.4375</v>
      </c>
      <c r="X242" s="111">
        <f t="shared" si="79"/>
        <v>1403400.3125</v>
      </c>
      <c r="Y242" s="97" t="s">
        <v>452</v>
      </c>
      <c r="AI242" s="97">
        <v>222</v>
      </c>
      <c r="AJ242" s="111" t="s">
        <v>5598</v>
      </c>
      <c r="AK242" s="111">
        <v>4200000</v>
      </c>
      <c r="AL242" s="97">
        <v>53</v>
      </c>
      <c r="AM242" s="20">
        <f t="shared" si="86"/>
        <v>344</v>
      </c>
      <c r="AN242" s="115">
        <f t="shared" si="87"/>
        <v>1444800000</v>
      </c>
      <c r="AO242" s="20"/>
      <c r="AU242" s="94" t="s">
        <v>25</v>
      </c>
    </row>
    <row r="243" spans="7:47">
      <c r="G243" s="206" t="s">
        <v>5696</v>
      </c>
      <c r="H243" s="111">
        <v>710713.17725199996</v>
      </c>
      <c r="R243" s="206"/>
      <c r="S243" s="206"/>
      <c r="T243" s="111">
        <f>SUM(T195:T242)</f>
        <v>127637957.13209102</v>
      </c>
      <c r="U243" s="206" t="s">
        <v>4872</v>
      </c>
      <c r="V243" s="206">
        <v>624</v>
      </c>
      <c r="W243" s="111">
        <v>320.5</v>
      </c>
      <c r="X243" s="111">
        <f t="shared" si="79"/>
        <v>199992</v>
      </c>
      <c r="Y243" s="97" t="s">
        <v>452</v>
      </c>
      <c r="AI243" s="97">
        <v>223</v>
      </c>
      <c r="AJ243" s="111" t="s">
        <v>5668</v>
      </c>
      <c r="AK243" s="111">
        <v>260000000</v>
      </c>
      <c r="AL243" s="97">
        <v>22</v>
      </c>
      <c r="AM243" s="20">
        <f t="shared" si="86"/>
        <v>291</v>
      </c>
      <c r="AN243" s="115">
        <f t="shared" si="87"/>
        <v>75660000000</v>
      </c>
      <c r="AO243" s="20" t="s">
        <v>5669</v>
      </c>
    </row>
    <row r="244" spans="7:47">
      <c r="G244" s="206" t="s">
        <v>5698</v>
      </c>
      <c r="H244" s="111">
        <v>81025</v>
      </c>
      <c r="P244" t="s">
        <v>25</v>
      </c>
      <c r="R244" s="41"/>
      <c r="S244" s="206"/>
      <c r="T244" s="206" t="s">
        <v>6</v>
      </c>
      <c r="U244" s="206" t="s">
        <v>4877</v>
      </c>
      <c r="V244" s="206">
        <v>1086</v>
      </c>
      <c r="W244" s="111">
        <v>317.55</v>
      </c>
      <c r="X244" s="111">
        <f t="shared" si="79"/>
        <v>344859.3</v>
      </c>
      <c r="Y244" s="97" t="s">
        <v>452</v>
      </c>
      <c r="AI244" s="97">
        <v>224</v>
      </c>
      <c r="AJ244" s="111" t="s">
        <v>5696</v>
      </c>
      <c r="AK244" s="111">
        <v>20000</v>
      </c>
      <c r="AL244" s="97">
        <v>7</v>
      </c>
      <c r="AM244" s="20">
        <f t="shared" si="86"/>
        <v>269</v>
      </c>
      <c r="AN244" s="115">
        <f t="shared" si="87"/>
        <v>5380000</v>
      </c>
      <c r="AO244" s="20"/>
      <c r="AQ244" t="s">
        <v>25</v>
      </c>
    </row>
    <row r="245" spans="7:47">
      <c r="G245" s="206" t="s">
        <v>5701</v>
      </c>
      <c r="H245" s="111">
        <v>219696.613128</v>
      </c>
      <c r="R245" s="94"/>
      <c r="U245" s="206" t="s">
        <v>4882</v>
      </c>
      <c r="V245" s="206">
        <v>2820</v>
      </c>
      <c r="W245" s="111">
        <v>319.1096</v>
      </c>
      <c r="X245" s="111">
        <f t="shared" si="79"/>
        <v>899889.07200000004</v>
      </c>
      <c r="Y245" s="97" t="s">
        <v>452</v>
      </c>
      <c r="AI245" s="97">
        <v>225</v>
      </c>
      <c r="AJ245" s="111" t="s">
        <v>5704</v>
      </c>
      <c r="AK245" s="111">
        <v>70000</v>
      </c>
      <c r="AL245" s="97">
        <v>1</v>
      </c>
      <c r="AM245" s="20">
        <f t="shared" si="86"/>
        <v>262</v>
      </c>
      <c r="AN245" s="115">
        <f t="shared" si="87"/>
        <v>18340000</v>
      </c>
      <c r="AO245" s="20"/>
    </row>
    <row r="246" spans="7:47">
      <c r="G246" s="206" t="s">
        <v>5702</v>
      </c>
      <c r="H246" s="111">
        <v>6035472.4070199998</v>
      </c>
      <c r="R246" s="94" t="s">
        <v>25</v>
      </c>
      <c r="S246" s="94" t="s">
        <v>25</v>
      </c>
      <c r="U246" s="206" t="s">
        <v>4885</v>
      </c>
      <c r="V246" s="206">
        <v>1145</v>
      </c>
      <c r="W246" s="111">
        <v>325.44</v>
      </c>
      <c r="X246" s="111">
        <f t="shared" si="79"/>
        <v>372628.8</v>
      </c>
      <c r="Y246" s="97" t="s">
        <v>452</v>
      </c>
      <c r="Z246" t="s">
        <v>25</v>
      </c>
      <c r="AI246" s="97">
        <v>226</v>
      </c>
      <c r="AJ246" s="111" t="s">
        <v>5710</v>
      </c>
      <c r="AK246" s="111">
        <v>330000</v>
      </c>
      <c r="AL246" s="97">
        <v>1</v>
      </c>
      <c r="AM246" s="20">
        <f t="shared" si="86"/>
        <v>261</v>
      </c>
      <c r="AN246" s="115">
        <f t="shared" si="87"/>
        <v>86130000</v>
      </c>
      <c r="AO246" s="20"/>
    </row>
    <row r="247" spans="7:47">
      <c r="G247" s="206" t="s">
        <v>5703</v>
      </c>
      <c r="H247" s="111">
        <v>984486.34963200008</v>
      </c>
      <c r="R247" s="94" t="s">
        <v>25</v>
      </c>
      <c r="S247" s="94" t="s">
        <v>25</v>
      </c>
      <c r="T247" t="s">
        <v>25</v>
      </c>
      <c r="U247" s="206" t="s">
        <v>4893</v>
      </c>
      <c r="V247" s="206">
        <v>20153</v>
      </c>
      <c r="W247" s="111">
        <v>322</v>
      </c>
      <c r="X247" s="111">
        <f t="shared" si="79"/>
        <v>6489266</v>
      </c>
      <c r="Y247" s="97" t="s">
        <v>452</v>
      </c>
      <c r="AI247" s="97">
        <v>227</v>
      </c>
      <c r="AJ247" s="111" t="s">
        <v>5799</v>
      </c>
      <c r="AK247" s="111">
        <v>33833075</v>
      </c>
      <c r="AL247" s="97">
        <v>18</v>
      </c>
      <c r="AM247" s="20">
        <f t="shared" si="86"/>
        <v>260</v>
      </c>
      <c r="AN247" s="115">
        <f t="shared" si="87"/>
        <v>8796599500</v>
      </c>
      <c r="AO247" s="20" t="s">
        <v>5803</v>
      </c>
    </row>
    <row r="248" spans="7:47">
      <c r="G248" s="206" t="s">
        <v>5704</v>
      </c>
      <c r="H248" s="111">
        <v>2143469.938015</v>
      </c>
      <c r="T248" t="s">
        <v>25</v>
      </c>
      <c r="U248" s="206" t="s">
        <v>4903</v>
      </c>
      <c r="V248" s="206">
        <v>93720</v>
      </c>
      <c r="W248" s="111">
        <v>325.435</v>
      </c>
      <c r="X248" s="111">
        <f t="shared" si="79"/>
        <v>30499768.199999999</v>
      </c>
      <c r="Y248" s="97" t="s">
        <v>1069</v>
      </c>
      <c r="AI248" s="97">
        <v>228</v>
      </c>
      <c r="AJ248" s="111" t="s">
        <v>5810</v>
      </c>
      <c r="AK248" s="111">
        <v>150000</v>
      </c>
      <c r="AL248" s="97">
        <v>10</v>
      </c>
      <c r="AM248" s="20">
        <f t="shared" si="86"/>
        <v>242</v>
      </c>
      <c r="AN248" s="115"/>
      <c r="AO248" s="20"/>
    </row>
    <row r="249" spans="7:47">
      <c r="G249" s="206" t="s">
        <v>5714</v>
      </c>
      <c r="H249" s="111">
        <v>3085460.5177150001</v>
      </c>
      <c r="R249" s="97" t="s">
        <v>743</v>
      </c>
      <c r="S249" s="97"/>
      <c r="T249" t="s">
        <v>25</v>
      </c>
      <c r="U249" s="206" t="s">
        <v>4903</v>
      </c>
      <c r="V249" s="206">
        <v>20895</v>
      </c>
      <c r="W249" s="111">
        <v>325.435</v>
      </c>
      <c r="X249" s="111">
        <f t="shared" si="79"/>
        <v>6799964.3250000002</v>
      </c>
      <c r="Y249" s="97" t="s">
        <v>743</v>
      </c>
      <c r="AI249" s="97">
        <v>229</v>
      </c>
      <c r="AJ249" s="111" t="s">
        <v>5815</v>
      </c>
      <c r="AK249" s="111">
        <v>-341847876.93843603</v>
      </c>
      <c r="AL249" s="97">
        <v>1</v>
      </c>
      <c r="AM249" s="20">
        <f t="shared" si="86"/>
        <v>232</v>
      </c>
      <c r="AN249" s="115"/>
      <c r="AO249" s="20" t="s">
        <v>4727</v>
      </c>
      <c r="AQ249" t="s">
        <v>25</v>
      </c>
    </row>
    <row r="250" spans="7:47" ht="20.25" customHeight="1">
      <c r="G250" s="206" t="s">
        <v>5715</v>
      </c>
      <c r="H250" s="111">
        <v>8261456.790906</v>
      </c>
      <c r="O250" t="s">
        <v>25</v>
      </c>
      <c r="P250" t="s">
        <v>25</v>
      </c>
      <c r="R250" s="97" t="s">
        <v>4399</v>
      </c>
      <c r="S250" s="93">
        <v>172908000</v>
      </c>
      <c r="T250" t="s">
        <v>25</v>
      </c>
      <c r="U250" s="206" t="s">
        <v>4910</v>
      </c>
      <c r="V250" s="206">
        <v>2611</v>
      </c>
      <c r="W250" s="111">
        <v>325.435</v>
      </c>
      <c r="X250" s="111">
        <f t="shared" si="79"/>
        <v>849710.78500000003</v>
      </c>
      <c r="Y250" s="97" t="s">
        <v>743</v>
      </c>
      <c r="AI250" s="97">
        <v>230</v>
      </c>
      <c r="AJ250" s="111" t="s">
        <v>5826</v>
      </c>
      <c r="AK250" s="111">
        <v>100000000</v>
      </c>
      <c r="AL250" s="97">
        <v>0</v>
      </c>
      <c r="AM250" s="20">
        <f t="shared" si="86"/>
        <v>231</v>
      </c>
      <c r="AN250" s="115"/>
      <c r="AO250" s="20" t="s">
        <v>5827</v>
      </c>
    </row>
    <row r="251" spans="7:47" ht="30">
      <c r="G251" s="206" t="s">
        <v>5716</v>
      </c>
      <c r="H251" s="111">
        <v>6572373.7593120001</v>
      </c>
      <c r="K251" t="s">
        <v>25</v>
      </c>
      <c r="R251" s="97" t="s">
        <v>4430</v>
      </c>
      <c r="S251" s="93">
        <v>1400000</v>
      </c>
      <c r="U251" s="206" t="s">
        <v>4918</v>
      </c>
      <c r="V251" s="206">
        <v>6750</v>
      </c>
      <c r="W251" s="111">
        <v>339.3</v>
      </c>
      <c r="X251" s="111">
        <f t="shared" si="79"/>
        <v>2290275</v>
      </c>
      <c r="Y251" s="97" t="s">
        <v>743</v>
      </c>
      <c r="AB251" t="s">
        <v>25</v>
      </c>
      <c r="AI251" s="97">
        <v>231</v>
      </c>
      <c r="AJ251" s="111" t="s">
        <v>5826</v>
      </c>
      <c r="AK251" s="111">
        <v>-100000000</v>
      </c>
      <c r="AL251" s="97">
        <v>1</v>
      </c>
      <c r="AM251" s="20">
        <f t="shared" si="86"/>
        <v>231</v>
      </c>
      <c r="AN251" s="115"/>
      <c r="AO251" s="261" t="s">
        <v>5828</v>
      </c>
    </row>
    <row r="252" spans="7:47">
      <c r="G252" s="206" t="s">
        <v>5720</v>
      </c>
      <c r="H252" s="111">
        <v>2893243.5730909999</v>
      </c>
      <c r="R252" s="97" t="s">
        <v>4205</v>
      </c>
      <c r="S252" s="93">
        <v>247393</v>
      </c>
      <c r="T252" t="s">
        <v>25</v>
      </c>
      <c r="U252" s="206" t="s">
        <v>4926</v>
      </c>
      <c r="V252" s="206">
        <v>1850</v>
      </c>
      <c r="W252" s="111">
        <v>334.10050000000001</v>
      </c>
      <c r="X252" s="111">
        <f t="shared" si="79"/>
        <v>618085.92500000005</v>
      </c>
      <c r="Y252" s="97" t="s">
        <v>452</v>
      </c>
      <c r="Z252" t="s">
        <v>25</v>
      </c>
      <c r="AI252" s="97">
        <v>232</v>
      </c>
      <c r="AJ252" s="111" t="s">
        <v>5829</v>
      </c>
      <c r="AK252" s="111">
        <v>90000000</v>
      </c>
      <c r="AL252" s="97">
        <v>0</v>
      </c>
      <c r="AM252" s="20">
        <f t="shared" si="86"/>
        <v>230</v>
      </c>
      <c r="AN252" s="115"/>
      <c r="AO252" s="20"/>
    </row>
    <row r="253" spans="7:47" ht="30">
      <c r="G253" s="206" t="s">
        <v>5721</v>
      </c>
      <c r="H253" s="111">
        <v>94992058.939007998</v>
      </c>
      <c r="J253" t="s">
        <v>25</v>
      </c>
      <c r="O253" t="s">
        <v>25</v>
      </c>
      <c r="R253" s="97" t="s">
        <v>4204</v>
      </c>
      <c r="S253" s="93">
        <v>6780000</v>
      </c>
      <c r="U253" s="206" t="s">
        <v>4926</v>
      </c>
      <c r="V253" s="206">
        <v>-1194</v>
      </c>
      <c r="W253" s="111">
        <v>335</v>
      </c>
      <c r="X253" s="111">
        <f t="shared" si="79"/>
        <v>-399990</v>
      </c>
      <c r="Y253" s="97" t="s">
        <v>4406</v>
      </c>
      <c r="Z253" t="s">
        <v>25</v>
      </c>
      <c r="AI253" s="97">
        <v>233</v>
      </c>
      <c r="AJ253" s="111" t="s">
        <v>5829</v>
      </c>
      <c r="AK253" s="111">
        <v>-90000000</v>
      </c>
      <c r="AL253" s="97">
        <v>1</v>
      </c>
      <c r="AM253" s="20">
        <f t="shared" si="86"/>
        <v>230</v>
      </c>
      <c r="AN253" s="115"/>
      <c r="AO253" s="261" t="s">
        <v>5830</v>
      </c>
      <c r="AR253" t="s">
        <v>25</v>
      </c>
      <c r="AT253" t="s">
        <v>25</v>
      </c>
    </row>
    <row r="254" spans="7:47">
      <c r="G254" s="206" t="s">
        <v>5726</v>
      </c>
      <c r="H254" s="111">
        <v>275021.925965</v>
      </c>
      <c r="K254" t="s">
        <v>25</v>
      </c>
      <c r="R254" s="97" t="s">
        <v>4528</v>
      </c>
      <c r="S254" s="93">
        <v>-4000000</v>
      </c>
      <c r="U254" s="206" t="s">
        <v>4926</v>
      </c>
      <c r="V254" s="206">
        <v>1194</v>
      </c>
      <c r="W254" s="111">
        <v>335</v>
      </c>
      <c r="X254" s="111">
        <f t="shared" si="79"/>
        <v>399990</v>
      </c>
      <c r="Y254" s="97" t="s">
        <v>743</v>
      </c>
      <c r="AI254" s="97">
        <v>234</v>
      </c>
      <c r="AJ254" s="111" t="s">
        <v>5831</v>
      </c>
      <c r="AK254" s="111">
        <v>30000000</v>
      </c>
      <c r="AL254" s="97">
        <v>0</v>
      </c>
      <c r="AM254" s="20">
        <f t="shared" si="86"/>
        <v>229</v>
      </c>
      <c r="AN254" s="115"/>
      <c r="AO254" s="261"/>
    </row>
    <row r="255" spans="7:47" ht="30">
      <c r="G255" s="206" t="s">
        <v>5731</v>
      </c>
      <c r="H255" s="111">
        <v>327451.9203</v>
      </c>
      <c r="R255" s="97" t="s">
        <v>4553</v>
      </c>
      <c r="S255" s="93">
        <v>16727037</v>
      </c>
      <c r="U255" s="206" t="s">
        <v>4933</v>
      </c>
      <c r="V255" s="206">
        <v>433</v>
      </c>
      <c r="W255" s="111">
        <v>345.68</v>
      </c>
      <c r="X255" s="111">
        <f t="shared" si="79"/>
        <v>149679.44</v>
      </c>
      <c r="Y255" s="97" t="s">
        <v>743</v>
      </c>
      <c r="AI255" s="97">
        <v>235</v>
      </c>
      <c r="AJ255" s="111" t="s">
        <v>5831</v>
      </c>
      <c r="AK255" s="111">
        <v>-30000000</v>
      </c>
      <c r="AL255" s="97">
        <v>3</v>
      </c>
      <c r="AM255" s="20">
        <f t="shared" si="86"/>
        <v>229</v>
      </c>
      <c r="AN255" s="115"/>
      <c r="AO255" s="261" t="s">
        <v>5832</v>
      </c>
    </row>
    <row r="256" spans="7:47">
      <c r="G256" s="206" t="s">
        <v>5741</v>
      </c>
      <c r="H256" s="111">
        <v>260081.94096800001</v>
      </c>
      <c r="O256" t="s">
        <v>25</v>
      </c>
      <c r="R256" s="97" t="s">
        <v>4558</v>
      </c>
      <c r="S256" s="93">
        <v>46460683</v>
      </c>
      <c r="T256" t="s">
        <v>25</v>
      </c>
      <c r="U256" s="206" t="s">
        <v>4937</v>
      </c>
      <c r="V256" s="206">
        <v>55459</v>
      </c>
      <c r="W256" s="111">
        <v>362.51978000000003</v>
      </c>
      <c r="X256" s="111">
        <f t="shared" si="79"/>
        <v>20104984.479020003</v>
      </c>
      <c r="Y256" s="97" t="s">
        <v>452</v>
      </c>
      <c r="AI256" s="97">
        <v>236</v>
      </c>
      <c r="AJ256" s="111" t="s">
        <v>5847</v>
      </c>
      <c r="AK256" s="111">
        <v>50000000</v>
      </c>
      <c r="AL256" s="97">
        <v>1</v>
      </c>
      <c r="AM256" s="20">
        <f t="shared" si="86"/>
        <v>226</v>
      </c>
      <c r="AN256" s="115"/>
      <c r="AO256" s="261"/>
    </row>
    <row r="257" spans="7:46" ht="30">
      <c r="G257" s="206" t="s">
        <v>5749</v>
      </c>
      <c r="H257" s="111">
        <v>2909284.5308940001</v>
      </c>
      <c r="P257" t="s">
        <v>25</v>
      </c>
      <c r="R257" s="97" t="s">
        <v>4559</v>
      </c>
      <c r="S257" s="93">
        <v>19663646</v>
      </c>
      <c r="U257" s="206" t="s">
        <v>4941</v>
      </c>
      <c r="V257" s="206">
        <v>-57212</v>
      </c>
      <c r="W257" s="111">
        <v>368.45400000000001</v>
      </c>
      <c r="X257" s="111">
        <f t="shared" si="79"/>
        <v>-21079990.248</v>
      </c>
      <c r="Y257" s="97" t="s">
        <v>452</v>
      </c>
      <c r="AI257" s="97">
        <v>237</v>
      </c>
      <c r="AJ257" s="111" t="s">
        <v>5848</v>
      </c>
      <c r="AK257" s="111">
        <v>-50000000</v>
      </c>
      <c r="AL257" s="97">
        <v>5</v>
      </c>
      <c r="AM257" s="20">
        <f t="shared" si="86"/>
        <v>225</v>
      </c>
      <c r="AN257" s="115"/>
      <c r="AO257" s="261" t="s">
        <v>5849</v>
      </c>
      <c r="AQ257" t="s">
        <v>25</v>
      </c>
    </row>
    <row r="258" spans="7:46">
      <c r="G258" s="206" t="s">
        <v>5750</v>
      </c>
      <c r="H258" s="111">
        <v>37723205.094084002</v>
      </c>
      <c r="R258" s="97" t="s">
        <v>4580</v>
      </c>
      <c r="S258" s="93">
        <v>4374525</v>
      </c>
      <c r="U258" s="206" t="s">
        <v>4942</v>
      </c>
      <c r="V258" s="206">
        <v>-15881</v>
      </c>
      <c r="W258" s="111">
        <v>374.61599999999999</v>
      </c>
      <c r="X258" s="111">
        <f t="shared" si="79"/>
        <v>-5949276.6959999995</v>
      </c>
      <c r="Y258" s="97" t="s">
        <v>452</v>
      </c>
      <c r="AI258" s="97">
        <v>238</v>
      </c>
      <c r="AJ258" s="111" t="s">
        <v>6380</v>
      </c>
      <c r="AK258" s="111">
        <v>10000</v>
      </c>
      <c r="AL258" s="97">
        <v>1</v>
      </c>
      <c r="AM258" s="20">
        <f t="shared" si="86"/>
        <v>220</v>
      </c>
      <c r="AN258" s="115"/>
      <c r="AO258" s="261"/>
    </row>
    <row r="259" spans="7:46" ht="15" customHeight="1">
      <c r="G259" s="206" t="s">
        <v>5751</v>
      </c>
      <c r="H259" s="111">
        <v>1500094.75168</v>
      </c>
      <c r="R259" s="97" t="s">
        <v>4591</v>
      </c>
      <c r="S259" s="93">
        <v>6550580</v>
      </c>
      <c r="U259" s="206" t="s">
        <v>4948</v>
      </c>
      <c r="V259" s="206">
        <v>-41289</v>
      </c>
      <c r="W259" s="111">
        <v>372.27</v>
      </c>
      <c r="X259" s="111">
        <f t="shared" si="79"/>
        <v>-15370656.029999999</v>
      </c>
      <c r="Y259" s="97" t="s">
        <v>452</v>
      </c>
      <c r="AI259" s="97">
        <v>239</v>
      </c>
      <c r="AJ259" s="111" t="s">
        <v>6383</v>
      </c>
      <c r="AK259" s="111">
        <v>50000000</v>
      </c>
      <c r="AL259" s="97">
        <v>43</v>
      </c>
      <c r="AM259" s="20">
        <f t="shared" si="86"/>
        <v>219</v>
      </c>
      <c r="AN259" s="115"/>
      <c r="AO259" s="261" t="s">
        <v>5336</v>
      </c>
    </row>
    <row r="260" spans="7:46">
      <c r="G260" s="206" t="s">
        <v>5752</v>
      </c>
      <c r="H260" s="111">
        <v>7230628.4378079996</v>
      </c>
      <c r="J260" t="s">
        <v>25</v>
      </c>
      <c r="P260" t="s">
        <v>25</v>
      </c>
      <c r="R260" s="97" t="s">
        <v>4593</v>
      </c>
      <c r="S260" s="93">
        <v>6650895</v>
      </c>
      <c r="U260" s="206" t="s">
        <v>4954</v>
      </c>
      <c r="V260" s="206">
        <v>13563</v>
      </c>
      <c r="W260" s="111">
        <v>365.69799999999998</v>
      </c>
      <c r="X260" s="111">
        <f t="shared" si="79"/>
        <v>4959961.9739999995</v>
      </c>
      <c r="Y260" s="97" t="s">
        <v>452</v>
      </c>
      <c r="AI260" s="97">
        <v>240</v>
      </c>
      <c r="AJ260" s="111" t="s">
        <v>6435</v>
      </c>
      <c r="AK260" s="111">
        <v>50000000</v>
      </c>
      <c r="AL260" s="97">
        <v>10</v>
      </c>
      <c r="AM260" s="20">
        <f t="shared" si="86"/>
        <v>176</v>
      </c>
      <c r="AN260" s="115"/>
      <c r="AO260" s="261" t="s">
        <v>6436</v>
      </c>
    </row>
    <row r="261" spans="7:46">
      <c r="G261" s="206" t="s">
        <v>5754</v>
      </c>
      <c r="H261" s="111">
        <v>29767389.390390001</v>
      </c>
      <c r="R261" s="97" t="s">
        <v>4606</v>
      </c>
      <c r="S261" s="93">
        <v>2145814</v>
      </c>
      <c r="U261" s="206" t="s">
        <v>4954</v>
      </c>
      <c r="V261" s="206">
        <v>27344</v>
      </c>
      <c r="W261" s="111">
        <v>365.69799999999998</v>
      </c>
      <c r="X261" s="111">
        <f t="shared" si="79"/>
        <v>9999646.1119999997</v>
      </c>
      <c r="Y261" s="97" t="s">
        <v>452</v>
      </c>
      <c r="AI261" s="97">
        <v>241</v>
      </c>
      <c r="AJ261" s="111" t="s">
        <v>6437</v>
      </c>
      <c r="AK261" s="111">
        <v>8200000</v>
      </c>
      <c r="AL261" s="97">
        <v>29</v>
      </c>
      <c r="AM261" s="20">
        <f t="shared" si="86"/>
        <v>166</v>
      </c>
      <c r="AN261" s="115"/>
      <c r="AO261" s="261" t="s">
        <v>6436</v>
      </c>
      <c r="AS261" t="s">
        <v>25</v>
      </c>
      <c r="AT261" t="s">
        <v>25</v>
      </c>
    </row>
    <row r="262" spans="7:46" ht="30">
      <c r="G262" s="206" t="s">
        <v>5756</v>
      </c>
      <c r="H262" s="111">
        <v>151560.25597</v>
      </c>
      <c r="R262" s="97" t="s">
        <v>4617</v>
      </c>
      <c r="S262" s="93">
        <v>4369730</v>
      </c>
      <c r="U262" s="206" t="s">
        <v>4961</v>
      </c>
      <c r="V262" s="206">
        <v>-103145</v>
      </c>
      <c r="W262" s="111">
        <v>393.334</v>
      </c>
      <c r="X262" s="111">
        <f t="shared" si="79"/>
        <v>-40570435.43</v>
      </c>
      <c r="Y262" s="36" t="s">
        <v>4966</v>
      </c>
      <c r="AI262" s="97">
        <v>242</v>
      </c>
      <c r="AJ262" s="111" t="s">
        <v>6473</v>
      </c>
      <c r="AK262" s="111">
        <v>-180000000</v>
      </c>
      <c r="AL262" s="97">
        <v>16</v>
      </c>
      <c r="AM262" s="20">
        <f t="shared" si="86"/>
        <v>137</v>
      </c>
      <c r="AN262" s="115"/>
      <c r="AO262" s="261" t="s">
        <v>6477</v>
      </c>
    </row>
    <row r="263" spans="7:46" ht="17.25" customHeight="1">
      <c r="G263" s="206" t="s">
        <v>5757</v>
      </c>
      <c r="H263" s="111">
        <v>481318.88078800001</v>
      </c>
      <c r="J263" t="s">
        <v>25</v>
      </c>
      <c r="R263" s="97" t="s">
        <v>4619</v>
      </c>
      <c r="S263" s="93">
        <v>8739459</v>
      </c>
      <c r="T263" t="s">
        <v>25</v>
      </c>
      <c r="U263" s="206" t="s">
        <v>4961</v>
      </c>
      <c r="V263" s="206">
        <v>-369</v>
      </c>
      <c r="W263" s="111">
        <v>393.334</v>
      </c>
      <c r="X263" s="111">
        <f t="shared" si="79"/>
        <v>-145140.24600000001</v>
      </c>
      <c r="Y263" s="36" t="s">
        <v>5038</v>
      </c>
      <c r="AI263" s="97">
        <v>243</v>
      </c>
      <c r="AJ263" s="111" t="s">
        <v>6582</v>
      </c>
      <c r="AK263" s="111">
        <v>60000000</v>
      </c>
      <c r="AL263" s="97">
        <v>6</v>
      </c>
      <c r="AM263" s="20">
        <f t="shared" si="86"/>
        <v>121</v>
      </c>
      <c r="AN263" s="115"/>
      <c r="AO263" s="261" t="s">
        <v>6583</v>
      </c>
      <c r="AT263" t="s">
        <v>25</v>
      </c>
    </row>
    <row r="264" spans="7:46">
      <c r="G264" s="206" t="s">
        <v>5760</v>
      </c>
      <c r="H264" s="111">
        <v>146277.56820000001</v>
      </c>
      <c r="P264" t="s">
        <v>25</v>
      </c>
      <c r="R264" s="97" t="s">
        <v>4628</v>
      </c>
      <c r="S264" s="93">
        <v>6667654</v>
      </c>
      <c r="U264" s="206" t="s">
        <v>4961</v>
      </c>
      <c r="V264" s="206">
        <v>-889</v>
      </c>
      <c r="W264" s="111">
        <v>393.334</v>
      </c>
      <c r="X264" s="111">
        <f t="shared" si="79"/>
        <v>-349673.92599999998</v>
      </c>
      <c r="Y264" s="36" t="s">
        <v>5039</v>
      </c>
      <c r="AI264" s="97">
        <v>244</v>
      </c>
      <c r="AJ264" s="111" t="s">
        <v>6591</v>
      </c>
      <c r="AK264" s="111">
        <v>5000</v>
      </c>
      <c r="AL264" s="97">
        <v>8</v>
      </c>
      <c r="AM264" s="20">
        <f t="shared" si="86"/>
        <v>115</v>
      </c>
      <c r="AN264" s="115"/>
      <c r="AO264" s="261" t="s">
        <v>6436</v>
      </c>
    </row>
    <row r="265" spans="7:46">
      <c r="G265" s="206" t="s">
        <v>5772</v>
      </c>
      <c r="H265" s="111">
        <v>424693.40162399999</v>
      </c>
      <c r="J265" t="s">
        <v>25</v>
      </c>
      <c r="R265" s="97" t="s">
        <v>4636</v>
      </c>
      <c r="S265" s="93">
        <v>8981245</v>
      </c>
      <c r="U265" s="206" t="s">
        <v>4970</v>
      </c>
      <c r="V265" s="206">
        <v>2546</v>
      </c>
      <c r="W265" s="111">
        <v>393</v>
      </c>
      <c r="X265" s="111">
        <f t="shared" si="79"/>
        <v>1000578</v>
      </c>
      <c r="Y265" s="36" t="s">
        <v>452</v>
      </c>
      <c r="AI265" s="97">
        <v>245</v>
      </c>
      <c r="AJ265" s="111" t="s">
        <v>6596</v>
      </c>
      <c r="AK265" s="111">
        <v>102750000</v>
      </c>
      <c r="AL265" s="97">
        <v>5</v>
      </c>
      <c r="AM265" s="20">
        <f t="shared" si="86"/>
        <v>107</v>
      </c>
      <c r="AN265" s="115"/>
      <c r="AO265" s="261"/>
    </row>
    <row r="266" spans="7:46" ht="30">
      <c r="G266" s="206" t="s">
        <v>5775</v>
      </c>
      <c r="H266" s="111">
        <v>558320.40202399995</v>
      </c>
      <c r="J266" t="s">
        <v>25</v>
      </c>
      <c r="R266" s="97" t="s">
        <v>4640</v>
      </c>
      <c r="S266" s="93">
        <v>9181756</v>
      </c>
      <c r="U266" s="206" t="s">
        <v>4971</v>
      </c>
      <c r="V266" s="206">
        <v>1034</v>
      </c>
      <c r="W266" s="111">
        <v>386.608</v>
      </c>
      <c r="X266" s="111">
        <f t="shared" si="79"/>
        <v>399752.67200000002</v>
      </c>
      <c r="Y266" s="36" t="s">
        <v>452</v>
      </c>
      <c r="AI266" s="97">
        <v>246</v>
      </c>
      <c r="AJ266" s="111" t="s">
        <v>6603</v>
      </c>
      <c r="AK266" s="111">
        <v>-60000000</v>
      </c>
      <c r="AL266" s="97">
        <v>42</v>
      </c>
      <c r="AM266" s="20">
        <f t="shared" si="86"/>
        <v>102</v>
      </c>
      <c r="AN266" s="115"/>
      <c r="AO266" s="261" t="s">
        <v>6609</v>
      </c>
    </row>
    <row r="267" spans="7:46" ht="20.25" customHeight="1">
      <c r="G267" s="206" t="s">
        <v>5777</v>
      </c>
      <c r="H267" s="111">
        <v>207642.22201140001</v>
      </c>
      <c r="J267" t="s">
        <v>25</v>
      </c>
      <c r="R267" s="97" t="s">
        <v>4643</v>
      </c>
      <c r="S267" s="93">
        <v>11811208</v>
      </c>
      <c r="T267" t="s">
        <v>25</v>
      </c>
      <c r="U267" s="206" t="s">
        <v>4978</v>
      </c>
      <c r="V267" s="206">
        <v>300</v>
      </c>
      <c r="W267" s="111">
        <v>400</v>
      </c>
      <c r="X267" s="111">
        <f t="shared" si="79"/>
        <v>120000</v>
      </c>
      <c r="Y267" s="36" t="s">
        <v>452</v>
      </c>
      <c r="AI267" s="97">
        <v>247</v>
      </c>
      <c r="AJ267" s="111" t="s">
        <v>6920</v>
      </c>
      <c r="AK267" s="111">
        <v>50000</v>
      </c>
      <c r="AL267" s="97">
        <v>59</v>
      </c>
      <c r="AM267" s="20">
        <f t="shared" si="86"/>
        <v>60</v>
      </c>
      <c r="AN267" s="115"/>
      <c r="AO267" s="261" t="s">
        <v>6436</v>
      </c>
      <c r="AT267" t="s">
        <v>25</v>
      </c>
    </row>
    <row r="268" spans="7:46">
      <c r="G268" s="279" t="s">
        <v>5808</v>
      </c>
      <c r="H268" s="88">
        <v>637977.33504399995</v>
      </c>
      <c r="R268" s="97" t="s">
        <v>4656</v>
      </c>
      <c r="S268" s="93">
        <v>41248054</v>
      </c>
      <c r="T268" t="s">
        <v>25</v>
      </c>
      <c r="U268" s="206" t="s">
        <v>4986</v>
      </c>
      <c r="V268" s="206">
        <v>782</v>
      </c>
      <c r="W268" s="111">
        <v>409</v>
      </c>
      <c r="X268" s="111">
        <f t="shared" si="79"/>
        <v>319838</v>
      </c>
      <c r="Y268" s="36" t="s">
        <v>743</v>
      </c>
      <c r="AI268" s="97">
        <v>248</v>
      </c>
      <c r="AJ268" s="111" t="s">
        <v>7056</v>
      </c>
      <c r="AK268" s="111">
        <v>300000</v>
      </c>
      <c r="AL268" s="97">
        <v>1</v>
      </c>
      <c r="AM268" s="20">
        <f t="shared" si="86"/>
        <v>1</v>
      </c>
      <c r="AN268" s="115"/>
      <c r="AO268" s="261"/>
    </row>
    <row r="269" spans="7:46" ht="21.75" customHeight="1">
      <c r="G269" s="206" t="s">
        <v>5809</v>
      </c>
      <c r="H269" s="111">
        <v>466552.25632400002</v>
      </c>
      <c r="R269" s="97" t="s">
        <v>4663</v>
      </c>
      <c r="S269" s="93">
        <v>37328780</v>
      </c>
      <c r="U269" s="206" t="s">
        <v>4990</v>
      </c>
      <c r="V269" s="206">
        <v>1220</v>
      </c>
      <c r="W269" s="111">
        <v>409.9</v>
      </c>
      <c r="X269" s="111">
        <f t="shared" si="79"/>
        <v>500078</v>
      </c>
      <c r="Y269" s="36" t="s">
        <v>743</v>
      </c>
      <c r="AI269" s="97"/>
      <c r="AJ269" s="111"/>
      <c r="AK269" s="111"/>
      <c r="AL269" s="97"/>
      <c r="AM269" s="20">
        <f t="shared" si="86"/>
        <v>0</v>
      </c>
      <c r="AN269" s="115"/>
      <c r="AO269" s="261"/>
    </row>
    <row r="270" spans="7:46">
      <c r="G270" s="206" t="s">
        <v>5810</v>
      </c>
      <c r="H270" s="111">
        <v>189134.85153000001</v>
      </c>
      <c r="J270" t="s">
        <v>25</v>
      </c>
      <c r="R270" s="97" t="s">
        <v>4739</v>
      </c>
      <c r="S270" s="93">
        <v>-2194100</v>
      </c>
      <c r="U270" s="206" t="s">
        <v>4992</v>
      </c>
      <c r="V270" s="206">
        <v>1285</v>
      </c>
      <c r="W270" s="111">
        <v>388.84</v>
      </c>
      <c r="X270" s="111">
        <f t="shared" si="79"/>
        <v>499659.39999999997</v>
      </c>
      <c r="Y270" s="36" t="s">
        <v>452</v>
      </c>
      <c r="AI270" s="97"/>
      <c r="AJ270" s="111"/>
      <c r="AK270" s="111"/>
      <c r="AL270" s="97"/>
      <c r="AM270" s="20">
        <f t="shared" si="86"/>
        <v>0</v>
      </c>
      <c r="AN270" s="115"/>
      <c r="AO270" s="20"/>
    </row>
    <row r="271" spans="7:46">
      <c r="G271" s="206" t="s">
        <v>5812</v>
      </c>
      <c r="H271" s="111">
        <v>564888.82799599995</v>
      </c>
      <c r="R271" s="97" t="s">
        <v>4775</v>
      </c>
      <c r="S271" s="93">
        <v>20193916</v>
      </c>
      <c r="U271" s="206" t="s">
        <v>4983</v>
      </c>
      <c r="V271" s="206">
        <v>1924</v>
      </c>
      <c r="W271" s="111">
        <v>386.69600000000003</v>
      </c>
      <c r="X271" s="111">
        <f t="shared" si="79"/>
        <v>744003.10400000005</v>
      </c>
      <c r="Y271" s="36" t="s">
        <v>452</v>
      </c>
      <c r="AD271" t="s">
        <v>25</v>
      </c>
      <c r="AI271" s="97"/>
      <c r="AJ271" s="111"/>
      <c r="AK271" s="111"/>
      <c r="AL271" s="97"/>
      <c r="AM271" s="20">
        <f t="shared" si="86"/>
        <v>0</v>
      </c>
      <c r="AN271" s="115"/>
      <c r="AO271" s="20"/>
      <c r="AS271" t="s">
        <v>25</v>
      </c>
    </row>
    <row r="272" spans="7:46">
      <c r="G272" s="206" t="s">
        <v>5847</v>
      </c>
      <c r="H272" s="111">
        <v>259993.58394100002</v>
      </c>
      <c r="J272" t="s">
        <v>25</v>
      </c>
      <c r="R272" s="97" t="s">
        <v>4840</v>
      </c>
      <c r="S272" s="93">
        <v>-2000000</v>
      </c>
      <c r="U272" s="206" t="s">
        <v>5008</v>
      </c>
      <c r="V272" s="206">
        <v>165</v>
      </c>
      <c r="W272" s="111">
        <v>393.5</v>
      </c>
      <c r="X272" s="111">
        <f t="shared" si="79"/>
        <v>64927.5</v>
      </c>
      <c r="Y272" s="36" t="s">
        <v>452</v>
      </c>
      <c r="AI272" s="97"/>
      <c r="AJ272" s="111"/>
      <c r="AK272" s="111"/>
      <c r="AL272" s="97"/>
      <c r="AM272" s="20">
        <f t="shared" si="86"/>
        <v>0</v>
      </c>
      <c r="AN272" s="115"/>
      <c r="AO272" s="20"/>
    </row>
    <row r="273" spans="7:41" ht="30">
      <c r="G273" s="206" t="s">
        <v>5848</v>
      </c>
      <c r="H273" s="111">
        <v>269955.31205999997</v>
      </c>
      <c r="R273" s="97" t="s">
        <v>4903</v>
      </c>
      <c r="S273" s="93">
        <v>6800000</v>
      </c>
      <c r="T273" t="s">
        <v>25</v>
      </c>
      <c r="U273" s="206" t="s">
        <v>5013</v>
      </c>
      <c r="V273" s="206">
        <v>-34859</v>
      </c>
      <c r="W273" s="111">
        <v>403.1585</v>
      </c>
      <c r="X273" s="111">
        <f t="shared" si="79"/>
        <v>-14053702.1515</v>
      </c>
      <c r="Y273" s="36" t="s">
        <v>5016</v>
      </c>
      <c r="AI273" s="97"/>
      <c r="AJ273" s="111"/>
      <c r="AK273" s="111">
        <v>0</v>
      </c>
      <c r="AL273" s="97"/>
      <c r="AM273" s="20">
        <f t="shared" si="86"/>
        <v>0</v>
      </c>
      <c r="AN273" s="115">
        <f t="shared" si="87"/>
        <v>0</v>
      </c>
      <c r="AO273" s="20"/>
    </row>
    <row r="274" spans="7:41">
      <c r="G274" s="206" t="s">
        <v>6389</v>
      </c>
      <c r="H274" s="111">
        <v>560534.38387200003</v>
      </c>
      <c r="R274" s="97" t="s">
        <v>4910</v>
      </c>
      <c r="S274" s="93">
        <v>850000</v>
      </c>
      <c r="U274" s="206" t="s">
        <v>4984</v>
      </c>
      <c r="V274" s="206">
        <v>8476</v>
      </c>
      <c r="W274" s="111">
        <v>419.49900000000002</v>
      </c>
      <c r="X274" s="111">
        <f t="shared" si="79"/>
        <v>3555673.5240000002</v>
      </c>
      <c r="Y274" s="36" t="s">
        <v>5022</v>
      </c>
      <c r="AI274" s="97"/>
      <c r="AJ274" s="111"/>
      <c r="AK274" s="111"/>
      <c r="AL274" s="97">
        <v>0</v>
      </c>
      <c r="AM274" s="20">
        <f t="shared" si="86"/>
        <v>0</v>
      </c>
      <c r="AN274" s="115">
        <f t="shared" si="87"/>
        <v>0</v>
      </c>
      <c r="AO274" s="20"/>
    </row>
    <row r="275" spans="7:41">
      <c r="G275" s="206" t="s">
        <v>6391</v>
      </c>
      <c r="H275" s="111">
        <v>581484.96802499995</v>
      </c>
      <c r="R275" s="97" t="s">
        <v>4918</v>
      </c>
      <c r="S275" s="93">
        <v>2290500</v>
      </c>
      <c r="U275" s="206" t="s">
        <v>5034</v>
      </c>
      <c r="V275" s="206">
        <v>903</v>
      </c>
      <c r="W275" s="111">
        <v>442.77379999999999</v>
      </c>
      <c r="X275" s="111">
        <f t="shared" si="79"/>
        <v>399824.7414</v>
      </c>
      <c r="Y275" s="36" t="s">
        <v>743</v>
      </c>
      <c r="AI275" s="97"/>
      <c r="AJ275" s="97"/>
      <c r="AK275" s="93">
        <f>SUM(AK20:AK274)</f>
        <v>469785949.06156397</v>
      </c>
      <c r="AL275" s="97"/>
      <c r="AM275" s="97">
        <v>0</v>
      </c>
      <c r="AN275" s="93">
        <f>SUM(AN20:AN274)</f>
        <v>606138171536</v>
      </c>
      <c r="AO275" s="93">
        <f>AN275*AO278/31</f>
        <v>325887254.99969399</v>
      </c>
    </row>
    <row r="276" spans="7:41">
      <c r="G276" s="206" t="s">
        <v>6393</v>
      </c>
      <c r="H276" s="111">
        <v>2136964.3409779998</v>
      </c>
      <c r="J276" t="s">
        <v>25</v>
      </c>
      <c r="R276" s="97" t="s">
        <v>4926</v>
      </c>
      <c r="S276" s="93">
        <v>400000</v>
      </c>
      <c r="T276" t="s">
        <v>25</v>
      </c>
      <c r="U276" s="206" t="s">
        <v>5037</v>
      </c>
      <c r="V276" s="206">
        <v>113</v>
      </c>
      <c r="W276" s="111">
        <v>442.48200000000003</v>
      </c>
      <c r="X276" s="111">
        <f t="shared" ref="X276:X357" si="88">V276*W276</f>
        <v>50000.466</v>
      </c>
      <c r="Y276" s="36" t="s">
        <v>743</v>
      </c>
      <c r="AI276" s="97"/>
      <c r="AJ276" s="97"/>
      <c r="AK276" s="97" t="s">
        <v>4041</v>
      </c>
      <c r="AL276" s="97"/>
      <c r="AM276" s="97"/>
      <c r="AN276" s="97" t="s">
        <v>284</v>
      </c>
      <c r="AO276" s="97" t="s">
        <v>926</v>
      </c>
    </row>
    <row r="277" spans="7:41">
      <c r="G277" s="206" t="s">
        <v>6396</v>
      </c>
      <c r="H277" s="111">
        <v>593783.22629999998</v>
      </c>
      <c r="J277" t="s">
        <v>25</v>
      </c>
      <c r="R277" s="97" t="s">
        <v>4933</v>
      </c>
      <c r="S277" s="93">
        <v>150000</v>
      </c>
      <c r="U277" s="206" t="s">
        <v>5047</v>
      </c>
      <c r="V277" s="206">
        <v>671</v>
      </c>
      <c r="W277" s="111">
        <v>447</v>
      </c>
      <c r="X277" s="111">
        <f t="shared" si="88"/>
        <v>299937</v>
      </c>
      <c r="Y277" s="36" t="s">
        <v>743</v>
      </c>
      <c r="AI277" s="97"/>
      <c r="AJ277" s="97"/>
      <c r="AK277" s="97"/>
      <c r="AL277" s="97"/>
      <c r="AM277" s="97"/>
      <c r="AN277" s="97"/>
      <c r="AO277" s="97"/>
    </row>
    <row r="278" spans="7:41">
      <c r="G278" s="206" t="s">
        <v>6400</v>
      </c>
      <c r="H278" s="111">
        <v>469469.96222000004</v>
      </c>
      <c r="J278" t="s">
        <v>25</v>
      </c>
      <c r="K278" t="s">
        <v>25</v>
      </c>
      <c r="R278" s="97" t="s">
        <v>4961</v>
      </c>
      <c r="S278" s="93">
        <v>-144950</v>
      </c>
      <c r="U278" s="206" t="s">
        <v>5049</v>
      </c>
      <c r="V278" s="206">
        <v>7</v>
      </c>
      <c r="W278" s="111">
        <v>465.31200000000001</v>
      </c>
      <c r="X278" s="111">
        <f t="shared" si="88"/>
        <v>3257.1840000000002</v>
      </c>
      <c r="Y278" s="36" t="s">
        <v>452</v>
      </c>
      <c r="AI278" s="97"/>
      <c r="AJ278" s="97"/>
      <c r="AK278" s="97"/>
      <c r="AL278" s="97"/>
      <c r="AM278" s="97"/>
      <c r="AN278" s="97" t="s">
        <v>4042</v>
      </c>
      <c r="AO278" s="97">
        <v>1.6667000000000001E-2</v>
      </c>
    </row>
    <row r="279" spans="7:41">
      <c r="G279" s="206" t="s">
        <v>6438</v>
      </c>
      <c r="H279" s="111">
        <v>15777944</v>
      </c>
      <c r="R279" s="97" t="s">
        <v>4986</v>
      </c>
      <c r="S279" s="93">
        <v>320000</v>
      </c>
      <c r="U279" s="206" t="s">
        <v>5053</v>
      </c>
      <c r="V279" s="206">
        <v>12950</v>
      </c>
      <c r="W279" s="111">
        <v>463.31599999999997</v>
      </c>
      <c r="X279" s="111">
        <f t="shared" si="88"/>
        <v>5999942.1999999993</v>
      </c>
      <c r="Y279" s="36" t="s">
        <v>452</v>
      </c>
      <c r="AI279" s="97"/>
      <c r="AJ279" s="97"/>
      <c r="AK279" s="97"/>
      <c r="AL279" s="97"/>
      <c r="AM279" s="97"/>
      <c r="AN279" s="97"/>
      <c r="AO279" s="97"/>
    </row>
    <row r="280" spans="7:41">
      <c r="G280" s="206" t="s">
        <v>6446</v>
      </c>
      <c r="H280" s="111">
        <v>3585319.2317280001</v>
      </c>
      <c r="J280" t="s">
        <v>25</v>
      </c>
      <c r="K280" t="s">
        <v>25</v>
      </c>
      <c r="R280" s="97" t="s">
        <v>4990</v>
      </c>
      <c r="S280" s="93">
        <v>500000</v>
      </c>
      <c r="T280" t="s">
        <v>25</v>
      </c>
      <c r="U280" s="206" t="s">
        <v>5055</v>
      </c>
      <c r="V280" s="206">
        <v>37</v>
      </c>
      <c r="W280" s="111">
        <v>463.315</v>
      </c>
      <c r="X280" s="111">
        <f t="shared" si="88"/>
        <v>17142.654999999999</v>
      </c>
      <c r="Y280" s="36" t="s">
        <v>452</v>
      </c>
      <c r="AI280" s="97"/>
      <c r="AJ280" s="97" t="s">
        <v>4043</v>
      </c>
      <c r="AK280" s="93">
        <f>AK275+AO275</f>
        <v>795673204.06125796</v>
      </c>
      <c r="AL280" s="97"/>
      <c r="AM280" s="97"/>
      <c r="AN280" s="97"/>
      <c r="AO280" s="97"/>
    </row>
    <row r="281" spans="7:41">
      <c r="G281" s="206" t="s">
        <v>6449</v>
      </c>
      <c r="H281" s="111">
        <v>676700.69889600005</v>
      </c>
      <c r="J281" t="s">
        <v>25</v>
      </c>
      <c r="R281" s="97" t="s">
        <v>5034</v>
      </c>
      <c r="S281" s="93">
        <v>400000</v>
      </c>
      <c r="T281" t="s">
        <v>25</v>
      </c>
      <c r="U281" s="206" t="s">
        <v>5056</v>
      </c>
      <c r="V281" s="206">
        <v>19</v>
      </c>
      <c r="W281" s="111">
        <v>434.3</v>
      </c>
      <c r="X281" s="111">
        <f t="shared" si="88"/>
        <v>8251.7000000000007</v>
      </c>
      <c r="Y281" s="36" t="s">
        <v>452</v>
      </c>
      <c r="Z281" t="s">
        <v>25</v>
      </c>
      <c r="AJ281" t="s">
        <v>4046</v>
      </c>
      <c r="AK281" s="112">
        <f>SUM(N47:N56)</f>
        <v>6589008706.8000002</v>
      </c>
      <c r="AN281" t="s">
        <v>25</v>
      </c>
    </row>
    <row r="282" spans="7:41">
      <c r="G282" s="206" t="s">
        <v>6457</v>
      </c>
      <c r="H282" s="111">
        <v>1105777.5430340001</v>
      </c>
      <c r="J282" t="s">
        <v>25</v>
      </c>
      <c r="R282" s="97" t="s">
        <v>5037</v>
      </c>
      <c r="S282" s="93">
        <v>50000</v>
      </c>
      <c r="T282" t="s">
        <v>25</v>
      </c>
      <c r="U282" s="206" t="s">
        <v>5058</v>
      </c>
      <c r="V282" s="206">
        <v>16</v>
      </c>
      <c r="W282" s="111">
        <v>439</v>
      </c>
      <c r="X282" s="111">
        <f t="shared" si="88"/>
        <v>7024</v>
      </c>
      <c r="Y282" s="36" t="s">
        <v>452</v>
      </c>
      <c r="Z282" t="s">
        <v>25</v>
      </c>
      <c r="AJ282" t="s">
        <v>4116</v>
      </c>
      <c r="AK282" s="112">
        <f>AK281-AK275</f>
        <v>6119222757.7384357</v>
      </c>
      <c r="AN282" t="s">
        <v>25</v>
      </c>
    </row>
    <row r="283" spans="7:41" ht="45">
      <c r="G283" s="206" t="s">
        <v>6461</v>
      </c>
      <c r="H283" s="111">
        <v>2315234.8602510002</v>
      </c>
      <c r="R283" s="97" t="s">
        <v>5047</v>
      </c>
      <c r="S283" s="93">
        <v>300000</v>
      </c>
      <c r="U283" s="206" t="s">
        <v>5058</v>
      </c>
      <c r="V283" s="206">
        <v>9191</v>
      </c>
      <c r="W283" s="111">
        <v>440.24630000000002</v>
      </c>
      <c r="X283" s="111">
        <f t="shared" si="88"/>
        <v>4046303.7433000002</v>
      </c>
      <c r="Y283" s="36" t="s">
        <v>5059</v>
      </c>
      <c r="AJ283" t="s">
        <v>926</v>
      </c>
      <c r="AK283" s="112">
        <f>AO275</f>
        <v>325887254.99969399</v>
      </c>
      <c r="AO283" t="s">
        <v>25</v>
      </c>
    </row>
    <row r="284" spans="7:41">
      <c r="G284" s="206" t="s">
        <v>6463</v>
      </c>
      <c r="H284" s="111">
        <v>4136360.6541840001</v>
      </c>
      <c r="J284" t="s">
        <v>25</v>
      </c>
      <c r="R284" s="97" t="s">
        <v>5068</v>
      </c>
      <c r="S284" s="93">
        <v>250000</v>
      </c>
      <c r="U284" s="206" t="s">
        <v>5061</v>
      </c>
      <c r="V284" s="206">
        <v>-8792</v>
      </c>
      <c r="W284" s="111">
        <v>441.90665999999999</v>
      </c>
      <c r="X284" s="111">
        <f t="shared" si="88"/>
        <v>-3885243.3547199997</v>
      </c>
      <c r="Y284" s="36" t="s">
        <v>5062</v>
      </c>
      <c r="AJ284" t="s">
        <v>4047</v>
      </c>
      <c r="AK284" s="112">
        <f>AK281-AK280</f>
        <v>5793335502.7387419</v>
      </c>
      <c r="AO284" t="s">
        <v>25</v>
      </c>
    </row>
    <row r="285" spans="7:41">
      <c r="G285" s="206" t="s">
        <v>6465</v>
      </c>
      <c r="H285" s="111">
        <v>3035714.4702960001</v>
      </c>
      <c r="O285" t="s">
        <v>25</v>
      </c>
      <c r="R285" s="97" t="s">
        <v>5101</v>
      </c>
      <c r="S285" s="93">
        <v>200000</v>
      </c>
      <c r="U285" s="206" t="s">
        <v>5068</v>
      </c>
      <c r="V285" s="206">
        <v>530</v>
      </c>
      <c r="W285" s="111">
        <v>472</v>
      </c>
      <c r="X285" s="111">
        <f t="shared" si="88"/>
        <v>250160</v>
      </c>
      <c r="Y285" s="36" t="s">
        <v>743</v>
      </c>
      <c r="AN285" t="s">
        <v>25</v>
      </c>
    </row>
    <row r="286" spans="7:41" ht="30">
      <c r="G286" s="206" t="s">
        <v>6473</v>
      </c>
      <c r="H286" s="111">
        <v>93814</v>
      </c>
      <c r="R286" s="97" t="s">
        <v>5133</v>
      </c>
      <c r="S286" s="93">
        <v>122000</v>
      </c>
      <c r="U286" s="206" t="s">
        <v>5068</v>
      </c>
      <c r="V286" s="206">
        <v>12</v>
      </c>
      <c r="W286" s="111">
        <v>481.86</v>
      </c>
      <c r="X286" s="111">
        <f t="shared" si="88"/>
        <v>5782.32</v>
      </c>
      <c r="Y286" s="36" t="s">
        <v>5070</v>
      </c>
      <c r="AK286" t="s">
        <v>25</v>
      </c>
    </row>
    <row r="287" spans="7:41">
      <c r="G287" s="206" t="s">
        <v>6478</v>
      </c>
      <c r="H287" s="111">
        <v>345069.28943499998</v>
      </c>
      <c r="R287" s="97" t="s">
        <v>5141</v>
      </c>
      <c r="S287" s="93">
        <v>200000</v>
      </c>
      <c r="T287" t="s">
        <v>25</v>
      </c>
      <c r="U287" s="206" t="s">
        <v>5094</v>
      </c>
      <c r="V287" s="206">
        <v>846</v>
      </c>
      <c r="W287" s="111">
        <v>472.7</v>
      </c>
      <c r="X287" s="111">
        <f t="shared" si="88"/>
        <v>399904.2</v>
      </c>
      <c r="Y287" s="36" t="s">
        <v>452</v>
      </c>
    </row>
    <row r="288" spans="7:41">
      <c r="G288" s="206" t="s">
        <v>6570</v>
      </c>
      <c r="H288" s="111">
        <v>567785.37859199999</v>
      </c>
      <c r="R288" s="97" t="s">
        <v>5151</v>
      </c>
      <c r="S288" s="93">
        <v>60000</v>
      </c>
      <c r="U288" s="206" t="s">
        <v>5097</v>
      </c>
      <c r="V288" s="206">
        <v>191</v>
      </c>
      <c r="W288" s="111">
        <v>484.572</v>
      </c>
      <c r="X288" s="111">
        <f t="shared" si="88"/>
        <v>92553.252000000008</v>
      </c>
      <c r="Y288" s="36" t="s">
        <v>5098</v>
      </c>
    </row>
    <row r="289" spans="7:45">
      <c r="G289" s="206" t="s">
        <v>6581</v>
      </c>
      <c r="H289" s="111">
        <v>189683.91675</v>
      </c>
      <c r="J289" t="s">
        <v>25</v>
      </c>
      <c r="R289" s="97" t="s">
        <v>5210</v>
      </c>
      <c r="S289" s="93">
        <v>-200000</v>
      </c>
      <c r="T289" t="s">
        <v>25</v>
      </c>
      <c r="U289" s="206" t="s">
        <v>5097</v>
      </c>
      <c r="V289" s="206">
        <v>-206</v>
      </c>
      <c r="W289" s="111">
        <v>484.572</v>
      </c>
      <c r="X289" s="111">
        <f t="shared" si="88"/>
        <v>-99821.831999999995</v>
      </c>
      <c r="Y289" s="36" t="s">
        <v>5100</v>
      </c>
    </row>
    <row r="290" spans="7:45">
      <c r="G290" s="206" t="s">
        <v>6582</v>
      </c>
      <c r="H290" s="111">
        <v>519135.75707200001</v>
      </c>
      <c r="R290" s="97" t="s">
        <v>5272</v>
      </c>
      <c r="S290" s="93">
        <v>-9000000</v>
      </c>
      <c r="U290" s="206" t="s">
        <v>5101</v>
      </c>
      <c r="V290" s="206">
        <v>20685</v>
      </c>
      <c r="W290" s="111">
        <v>483.43312200000003</v>
      </c>
      <c r="X290" s="111">
        <f t="shared" si="88"/>
        <v>9999814.1285699997</v>
      </c>
      <c r="Y290" s="36" t="s">
        <v>5103</v>
      </c>
    </row>
    <row r="291" spans="7:45">
      <c r="G291" s="206" t="s">
        <v>6588</v>
      </c>
      <c r="H291" s="111">
        <v>3406413.9029760002</v>
      </c>
      <c r="R291" s="97" t="s">
        <v>5329</v>
      </c>
      <c r="S291" s="93">
        <v>-26000000</v>
      </c>
      <c r="U291" s="206" t="s">
        <v>5101</v>
      </c>
      <c r="V291" s="206">
        <v>-413</v>
      </c>
      <c r="W291" s="111">
        <v>483.40199999999999</v>
      </c>
      <c r="X291" s="111">
        <f t="shared" si="88"/>
        <v>-199645.02599999998</v>
      </c>
      <c r="Y291" s="36" t="s">
        <v>4406</v>
      </c>
      <c r="AI291" s="97" t="s">
        <v>3623</v>
      </c>
      <c r="AJ291" s="97" t="s">
        <v>180</v>
      </c>
      <c r="AK291" s="97" t="s">
        <v>267</v>
      </c>
      <c r="AL291" s="97" t="s">
        <v>4040</v>
      </c>
      <c r="AM291" s="97" t="s">
        <v>4032</v>
      </c>
      <c r="AN291" s="97" t="s">
        <v>282</v>
      </c>
      <c r="AO291" s="97" t="s">
        <v>4265</v>
      </c>
    </row>
    <row r="292" spans="7:45">
      <c r="G292" s="409" t="s">
        <v>6590</v>
      </c>
      <c r="H292" s="77">
        <v>435036.348168</v>
      </c>
      <c r="R292" s="97" t="s">
        <v>5333</v>
      </c>
      <c r="S292" s="93">
        <v>-95900000</v>
      </c>
      <c r="U292" s="206" t="s">
        <v>5101</v>
      </c>
      <c r="V292" s="206">
        <v>413</v>
      </c>
      <c r="W292" s="111">
        <v>483.40199999999999</v>
      </c>
      <c r="X292" s="111">
        <f t="shared" si="88"/>
        <v>199645.02599999998</v>
      </c>
      <c r="Y292" s="36" t="s">
        <v>743</v>
      </c>
      <c r="AI292" s="97">
        <v>1</v>
      </c>
      <c r="AJ292" s="97" t="s">
        <v>3931</v>
      </c>
      <c r="AK292" s="115">
        <v>3555820</v>
      </c>
      <c r="AL292" s="97">
        <v>2</v>
      </c>
      <c r="AM292" s="97">
        <f>AL292+AM293</f>
        <v>991</v>
      </c>
      <c r="AN292" s="97">
        <f>AK292*AM292</f>
        <v>3523817620</v>
      </c>
      <c r="AO292" s="97" t="s">
        <v>4283</v>
      </c>
    </row>
    <row r="293" spans="7:45">
      <c r="G293" s="206" t="s">
        <v>6629</v>
      </c>
      <c r="H293" s="111">
        <v>2321535.4633200001</v>
      </c>
      <c r="O293" t="s">
        <v>25</v>
      </c>
      <c r="R293" s="97" t="s">
        <v>5334</v>
      </c>
      <c r="S293" s="93">
        <v>-28950000</v>
      </c>
      <c r="T293" t="s">
        <v>25</v>
      </c>
      <c r="U293" s="206" t="s">
        <v>5106</v>
      </c>
      <c r="V293" s="206">
        <v>-828</v>
      </c>
      <c r="W293" s="111">
        <v>483.43312200000003</v>
      </c>
      <c r="X293" s="111">
        <f t="shared" si="88"/>
        <v>-400282.62501600001</v>
      </c>
      <c r="Y293" s="36" t="s">
        <v>452</v>
      </c>
      <c r="AI293" s="97">
        <v>2</v>
      </c>
      <c r="AJ293" s="97" t="s">
        <v>4006</v>
      </c>
      <c r="AK293" s="115">
        <v>1720837</v>
      </c>
      <c r="AL293" s="97">
        <v>51</v>
      </c>
      <c r="AM293" s="97">
        <f t="shared" ref="AM293:AM302" si="89">AL293+AM294</f>
        <v>989</v>
      </c>
      <c r="AN293" s="97">
        <f t="shared" ref="AN293:AN321" si="90">AK293*AM293</f>
        <v>1701907793</v>
      </c>
      <c r="AO293" s="97" t="s">
        <v>4284</v>
      </c>
    </row>
    <row r="294" spans="7:45">
      <c r="G294" s="206" t="s">
        <v>6910</v>
      </c>
      <c r="H294" s="111">
        <v>1098146.8035800001</v>
      </c>
      <c r="R294" s="97" t="s">
        <v>5476</v>
      </c>
      <c r="S294" s="93">
        <v>-93000000</v>
      </c>
      <c r="T294" t="s">
        <v>25</v>
      </c>
      <c r="U294" s="206" t="s">
        <v>5109</v>
      </c>
      <c r="V294" s="206">
        <v>12</v>
      </c>
      <c r="W294" s="111">
        <v>473.61898300000001</v>
      </c>
      <c r="X294" s="111">
        <f t="shared" si="88"/>
        <v>5683.4277959999999</v>
      </c>
      <c r="Y294" s="36" t="s">
        <v>452</v>
      </c>
      <c r="AI294" s="97">
        <v>3</v>
      </c>
      <c r="AJ294" s="97" t="s">
        <v>4110</v>
      </c>
      <c r="AK294" s="115">
        <v>150000</v>
      </c>
      <c r="AL294" s="97">
        <v>3</v>
      </c>
      <c r="AM294" s="97">
        <f t="shared" si="89"/>
        <v>938</v>
      </c>
      <c r="AN294" s="97">
        <f t="shared" si="90"/>
        <v>140700000</v>
      </c>
      <c r="AO294" s="97"/>
    </row>
    <row r="295" spans="7:45">
      <c r="G295" s="206" t="s">
        <v>6915</v>
      </c>
      <c r="H295" s="111">
        <v>540424.560405</v>
      </c>
      <c r="R295" s="97" t="s">
        <v>5485</v>
      </c>
      <c r="S295" s="93">
        <v>50000000</v>
      </c>
      <c r="U295" s="206" t="s">
        <v>5112</v>
      </c>
      <c r="V295" s="206">
        <v>963</v>
      </c>
      <c r="W295" s="111">
        <v>477.92200000000003</v>
      </c>
      <c r="X295" s="111">
        <f t="shared" si="88"/>
        <v>460238.886</v>
      </c>
      <c r="Y295" s="36" t="s">
        <v>452</v>
      </c>
      <c r="AI295" s="97">
        <v>4</v>
      </c>
      <c r="AJ295" s="97" t="s">
        <v>4125</v>
      </c>
      <c r="AK295" s="115">
        <v>-95000</v>
      </c>
      <c r="AL295" s="97">
        <v>8</v>
      </c>
      <c r="AM295" s="97">
        <f t="shared" si="89"/>
        <v>935</v>
      </c>
      <c r="AN295" s="97">
        <f t="shared" si="90"/>
        <v>-88825000</v>
      </c>
      <c r="AO295" s="97"/>
    </row>
    <row r="296" spans="7:45">
      <c r="G296" s="206" t="s">
        <v>6917</v>
      </c>
      <c r="H296" s="111">
        <v>2781712.2405709997</v>
      </c>
      <c r="R296" s="97" t="s">
        <v>4209</v>
      </c>
      <c r="S296" s="93">
        <v>2749471.1668000002</v>
      </c>
      <c r="U296" s="206" t="s">
        <v>5113</v>
      </c>
      <c r="V296" s="206">
        <v>2815</v>
      </c>
      <c r="W296" s="111">
        <v>461.79</v>
      </c>
      <c r="X296" s="111">
        <f t="shared" si="88"/>
        <v>1299938.8500000001</v>
      </c>
      <c r="Y296" s="36" t="s">
        <v>452</v>
      </c>
      <c r="AI296" s="97">
        <v>5</v>
      </c>
      <c r="AJ296" s="97" t="s">
        <v>4149</v>
      </c>
      <c r="AK296" s="115">
        <v>3150000</v>
      </c>
      <c r="AL296" s="97">
        <v>16</v>
      </c>
      <c r="AM296" s="97">
        <f t="shared" si="89"/>
        <v>927</v>
      </c>
      <c r="AN296" s="97">
        <f t="shared" si="90"/>
        <v>2920050000</v>
      </c>
      <c r="AO296" s="97"/>
    </row>
    <row r="297" spans="7:45">
      <c r="G297" s="206" t="s">
        <v>6925</v>
      </c>
      <c r="H297" s="111">
        <v>109680.86334900001</v>
      </c>
      <c r="R297" s="97" t="s">
        <v>5574</v>
      </c>
      <c r="S297" s="93">
        <v>-680940.07019999996</v>
      </c>
      <c r="U297" s="206" t="s">
        <v>5113</v>
      </c>
      <c r="V297" s="206">
        <v>1581</v>
      </c>
      <c r="W297" s="111">
        <v>461.79</v>
      </c>
      <c r="X297" s="111">
        <f t="shared" si="88"/>
        <v>730089.99</v>
      </c>
      <c r="Y297" s="36" t="s">
        <v>452</v>
      </c>
      <c r="Z297" t="s">
        <v>25</v>
      </c>
      <c r="AI297" s="97">
        <v>6</v>
      </c>
      <c r="AJ297" s="97" t="s">
        <v>4214</v>
      </c>
      <c r="AK297" s="115">
        <v>-65000</v>
      </c>
      <c r="AL297" s="97">
        <v>1</v>
      </c>
      <c r="AM297" s="97">
        <f t="shared" si="89"/>
        <v>911</v>
      </c>
      <c r="AN297" s="97">
        <f t="shared" si="90"/>
        <v>-59215000</v>
      </c>
      <c r="AO297" s="97"/>
    </row>
    <row r="298" spans="7:45">
      <c r="G298" s="206" t="s">
        <v>6946</v>
      </c>
      <c r="H298" s="111">
        <v>13945790.265610002</v>
      </c>
      <c r="R298" s="97" t="s">
        <v>5574</v>
      </c>
      <c r="S298" s="93">
        <v>-48684800.338199995</v>
      </c>
      <c r="U298" s="206" t="s">
        <v>975</v>
      </c>
      <c r="V298" s="206">
        <v>41</v>
      </c>
      <c r="W298" s="111">
        <v>514.48099999999999</v>
      </c>
      <c r="X298" s="111">
        <f t="shared" si="88"/>
        <v>21093.721000000001</v>
      </c>
      <c r="Y298" s="36" t="s">
        <v>5098</v>
      </c>
      <c r="AI298" s="97">
        <v>7</v>
      </c>
      <c r="AJ298" s="97" t="s">
        <v>4285</v>
      </c>
      <c r="AK298" s="115">
        <v>-95000</v>
      </c>
      <c r="AL298" s="97">
        <v>6</v>
      </c>
      <c r="AM298" s="97">
        <f t="shared" si="89"/>
        <v>910</v>
      </c>
      <c r="AN298" s="97">
        <f t="shared" si="90"/>
        <v>-86450000</v>
      </c>
      <c r="AO298" s="97"/>
    </row>
    <row r="299" spans="7:45">
      <c r="G299" s="206" t="s">
        <v>6948</v>
      </c>
      <c r="H299" s="111">
        <v>457914.84466800001</v>
      </c>
      <c r="R299" s="97" t="s">
        <v>5598</v>
      </c>
      <c r="S299" s="93">
        <v>1500000</v>
      </c>
      <c r="T299" t="s">
        <v>25</v>
      </c>
      <c r="U299" s="206" t="s">
        <v>4253</v>
      </c>
      <c r="V299" s="206">
        <v>71</v>
      </c>
      <c r="W299" s="111">
        <v>482.57</v>
      </c>
      <c r="X299" s="111">
        <f t="shared" si="88"/>
        <v>34262.47</v>
      </c>
      <c r="Y299" s="36" t="s">
        <v>5098</v>
      </c>
      <c r="AI299" s="97">
        <v>8</v>
      </c>
      <c r="AJ299" s="97" t="s">
        <v>4286</v>
      </c>
      <c r="AK299" s="115">
        <v>232000</v>
      </c>
      <c r="AL299" s="97">
        <v>7</v>
      </c>
      <c r="AM299" s="97">
        <f t="shared" si="89"/>
        <v>904</v>
      </c>
      <c r="AN299" s="97">
        <f t="shared" si="90"/>
        <v>209728000</v>
      </c>
      <c r="AO299" s="97"/>
    </row>
    <row r="300" spans="7:45">
      <c r="G300" s="206" t="s">
        <v>6950</v>
      </c>
      <c r="H300" s="111">
        <v>974570.33942399989</v>
      </c>
      <c r="R300" s="97" t="s">
        <v>963</v>
      </c>
      <c r="S300" s="93">
        <v>11221062</v>
      </c>
      <c r="T300" t="s">
        <v>25</v>
      </c>
      <c r="U300" s="206" t="s">
        <v>5133</v>
      </c>
      <c r="V300" s="206">
        <v>-250</v>
      </c>
      <c r="W300" s="111">
        <v>487.125</v>
      </c>
      <c r="X300" s="111">
        <f t="shared" si="88"/>
        <v>-121781.25</v>
      </c>
      <c r="Y300" s="36" t="s">
        <v>4406</v>
      </c>
      <c r="AI300" s="97">
        <v>9</v>
      </c>
      <c r="AJ300" s="97" t="s">
        <v>4264</v>
      </c>
      <c r="AK300" s="115">
        <v>13000000</v>
      </c>
      <c r="AL300" s="97">
        <v>2</v>
      </c>
      <c r="AM300" s="97">
        <f t="shared" si="89"/>
        <v>897</v>
      </c>
      <c r="AN300" s="97">
        <f t="shared" si="90"/>
        <v>11661000000</v>
      </c>
      <c r="AO300" s="97"/>
      <c r="AS300" t="s">
        <v>25</v>
      </c>
    </row>
    <row r="301" spans="7:45">
      <c r="G301" s="206" t="s">
        <v>6952</v>
      </c>
      <c r="H301" s="111">
        <v>746198.52596400003</v>
      </c>
      <c r="J301" t="s">
        <v>25</v>
      </c>
      <c r="O301" t="s">
        <v>25</v>
      </c>
      <c r="R301" s="97" t="s">
        <v>5804</v>
      </c>
      <c r="S301" s="93">
        <v>20031495.928431001</v>
      </c>
      <c r="U301" s="206" t="s">
        <v>5133</v>
      </c>
      <c r="V301" s="206">
        <v>250</v>
      </c>
      <c r="W301" s="111">
        <v>487.125</v>
      </c>
      <c r="X301" s="111">
        <f t="shared" si="88"/>
        <v>121781.25</v>
      </c>
      <c r="Y301" s="36" t="s">
        <v>743</v>
      </c>
      <c r="AI301" s="97">
        <v>10</v>
      </c>
      <c r="AJ301" s="97" t="s">
        <v>4287</v>
      </c>
      <c r="AK301" s="115">
        <v>10000000</v>
      </c>
      <c r="AL301" s="97">
        <v>3</v>
      </c>
      <c r="AM301" s="97">
        <f t="shared" si="89"/>
        <v>895</v>
      </c>
      <c r="AN301" s="97">
        <f t="shared" si="90"/>
        <v>8950000000</v>
      </c>
      <c r="AO301" s="97"/>
    </row>
    <row r="302" spans="7:45">
      <c r="G302" s="206" t="s">
        <v>6955</v>
      </c>
      <c r="H302" s="111">
        <v>416108</v>
      </c>
      <c r="R302" s="97" t="s">
        <v>5815</v>
      </c>
      <c r="S302" s="93">
        <v>-154353015.43906799</v>
      </c>
      <c r="T302" t="s">
        <v>25</v>
      </c>
      <c r="U302" s="206" t="s">
        <v>5141</v>
      </c>
      <c r="V302" s="206">
        <v>-1439</v>
      </c>
      <c r="W302" s="111">
        <v>486.53068999999999</v>
      </c>
      <c r="X302" s="111">
        <f t="shared" si="88"/>
        <v>-700117.66290999996</v>
      </c>
      <c r="Y302" s="36" t="s">
        <v>4406</v>
      </c>
      <c r="AI302" s="97">
        <v>11</v>
      </c>
      <c r="AJ302" s="97" t="s">
        <v>4276</v>
      </c>
      <c r="AK302" s="115">
        <v>3400000</v>
      </c>
      <c r="AL302" s="97">
        <v>9</v>
      </c>
      <c r="AM302" s="97">
        <f t="shared" si="89"/>
        <v>892</v>
      </c>
      <c r="AN302" s="97">
        <f t="shared" si="90"/>
        <v>3032800000</v>
      </c>
      <c r="AO302" s="97"/>
    </row>
    <row r="303" spans="7:45">
      <c r="G303" s="206" t="s">
        <v>6970</v>
      </c>
      <c r="H303" s="111">
        <v>361620.57555000001</v>
      </c>
      <c r="P303" t="s">
        <v>25</v>
      </c>
      <c r="R303" s="97" t="s">
        <v>5834</v>
      </c>
      <c r="S303" s="93">
        <v>16643927.89773</v>
      </c>
      <c r="T303" t="s">
        <v>25</v>
      </c>
      <c r="U303" s="206" t="s">
        <v>5141</v>
      </c>
      <c r="V303" s="206">
        <v>411</v>
      </c>
      <c r="W303" s="111">
        <v>486.53068999999999</v>
      </c>
      <c r="X303" s="111">
        <f t="shared" si="88"/>
        <v>199964.11358999999</v>
      </c>
      <c r="Y303" s="36" t="s">
        <v>743</v>
      </c>
      <c r="Z303" t="s">
        <v>25</v>
      </c>
      <c r="AI303" s="97">
        <v>12</v>
      </c>
      <c r="AJ303" s="97" t="s">
        <v>4313</v>
      </c>
      <c r="AK303" s="115">
        <v>-8736514</v>
      </c>
      <c r="AL303" s="97">
        <v>1</v>
      </c>
      <c r="AM303" s="97">
        <f>AL303+AM304</f>
        <v>883</v>
      </c>
      <c r="AN303" s="97">
        <f t="shared" si="90"/>
        <v>-7714341862</v>
      </c>
      <c r="AO303" s="97"/>
    </row>
    <row r="304" spans="7:45">
      <c r="G304" s="206" t="s">
        <v>6971</v>
      </c>
      <c r="H304" s="111">
        <v>761310.51884999999</v>
      </c>
      <c r="R304" s="97" t="s">
        <v>5835</v>
      </c>
      <c r="S304" s="93">
        <v>33355467.51292</v>
      </c>
      <c r="U304" s="206" t="s">
        <v>5111</v>
      </c>
      <c r="V304" s="206">
        <v>-4290</v>
      </c>
      <c r="W304" s="111">
        <v>497.57670000000002</v>
      </c>
      <c r="X304" s="111">
        <f t="shared" si="88"/>
        <v>-2134604.0430000001</v>
      </c>
      <c r="Y304" s="36" t="s">
        <v>452</v>
      </c>
      <c r="AI304" s="97">
        <v>13</v>
      </c>
      <c r="AJ304" s="97" t="s">
        <v>4314</v>
      </c>
      <c r="AK304" s="115">
        <v>555000</v>
      </c>
      <c r="AL304" s="97">
        <v>5</v>
      </c>
      <c r="AM304" s="97">
        <f t="shared" ref="AM304:AM320" si="91">AL304+AM305</f>
        <v>882</v>
      </c>
      <c r="AN304" s="97">
        <f t="shared" si="90"/>
        <v>489510000</v>
      </c>
      <c r="AO304" s="97"/>
    </row>
    <row r="305" spans="7:41">
      <c r="G305" s="206" t="s">
        <v>6974</v>
      </c>
      <c r="H305" s="111">
        <v>3047100.3041699999</v>
      </c>
      <c r="R305" s="97" t="s">
        <v>6380</v>
      </c>
      <c r="S305" s="93">
        <v>30000000</v>
      </c>
      <c r="T305" t="s">
        <v>25</v>
      </c>
      <c r="U305" s="206" t="s">
        <v>5148</v>
      </c>
      <c r="V305" s="206">
        <v>-644</v>
      </c>
      <c r="W305" s="111">
        <v>494.76464499999997</v>
      </c>
      <c r="X305" s="111">
        <f t="shared" si="88"/>
        <v>-318628.43137999997</v>
      </c>
      <c r="Y305" s="36" t="s">
        <v>452</v>
      </c>
      <c r="AI305" s="97">
        <v>14</v>
      </c>
      <c r="AJ305" s="97" t="s">
        <v>4338</v>
      </c>
      <c r="AK305" s="115">
        <v>-448308</v>
      </c>
      <c r="AL305" s="97">
        <v>6</v>
      </c>
      <c r="AM305" s="97">
        <f t="shared" si="91"/>
        <v>877</v>
      </c>
      <c r="AN305" s="97">
        <f t="shared" si="90"/>
        <v>-393166116</v>
      </c>
      <c r="AO305" s="97"/>
    </row>
    <row r="306" spans="7:41">
      <c r="G306" s="206" t="s">
        <v>6977</v>
      </c>
      <c r="H306" s="111">
        <v>2437078.451072</v>
      </c>
      <c r="I306" t="s">
        <v>25</v>
      </c>
      <c r="R306" s="97" t="s">
        <v>6393</v>
      </c>
      <c r="S306" s="93">
        <v>6000000</v>
      </c>
      <c r="U306" s="206" t="s">
        <v>5151</v>
      </c>
      <c r="V306" s="206">
        <v>-112</v>
      </c>
      <c r="W306" s="111">
        <v>485.78</v>
      </c>
      <c r="X306" s="111">
        <f t="shared" si="88"/>
        <v>-54407.360000000001</v>
      </c>
      <c r="Y306" s="36" t="s">
        <v>452</v>
      </c>
      <c r="AI306" s="97">
        <v>15</v>
      </c>
      <c r="AJ306" s="97" t="s">
        <v>4365</v>
      </c>
      <c r="AK306" s="115">
        <v>33225</v>
      </c>
      <c r="AL306" s="97">
        <v>0</v>
      </c>
      <c r="AM306" s="97">
        <f t="shared" si="91"/>
        <v>871</v>
      </c>
      <c r="AN306" s="97">
        <f t="shared" si="90"/>
        <v>28938975</v>
      </c>
      <c r="AO306" s="97"/>
    </row>
    <row r="307" spans="7:41">
      <c r="G307" s="206" t="s">
        <v>7059</v>
      </c>
      <c r="H307" s="111">
        <v>7747639.4065840002</v>
      </c>
      <c r="J307" t="s">
        <v>25</v>
      </c>
      <c r="K307" t="s">
        <v>25</v>
      </c>
      <c r="R307" s="97" t="s">
        <v>6478</v>
      </c>
      <c r="S307" s="93">
        <v>126128.77475900001</v>
      </c>
      <c r="U307" s="206" t="s">
        <v>5151</v>
      </c>
      <c r="V307" s="206">
        <v>123</v>
      </c>
      <c r="W307" s="111">
        <v>485.78</v>
      </c>
      <c r="X307" s="111">
        <f t="shared" si="88"/>
        <v>59750.939999999995</v>
      </c>
      <c r="Y307" s="36" t="s">
        <v>743</v>
      </c>
      <c r="AI307" s="147">
        <v>16</v>
      </c>
      <c r="AJ307" s="147" t="s">
        <v>4365</v>
      </c>
      <c r="AK307" s="186">
        <v>4098523</v>
      </c>
      <c r="AL307" s="147">
        <v>2</v>
      </c>
      <c r="AM307" s="147">
        <f t="shared" si="91"/>
        <v>871</v>
      </c>
      <c r="AN307" s="147">
        <f t="shared" si="90"/>
        <v>3569813533</v>
      </c>
      <c r="AO307" s="147" t="s">
        <v>649</v>
      </c>
    </row>
    <row r="308" spans="7:41">
      <c r="G308" s="206" t="s">
        <v>7061</v>
      </c>
      <c r="H308" s="111">
        <v>5584918.3522559991</v>
      </c>
      <c r="O308" t="s">
        <v>25</v>
      </c>
      <c r="R308" s="97" t="s">
        <v>7063</v>
      </c>
      <c r="S308" s="93">
        <v>7000000</v>
      </c>
      <c r="U308" s="206" t="s">
        <v>5151</v>
      </c>
      <c r="V308" s="206">
        <v>-123</v>
      </c>
      <c r="W308" s="111">
        <v>485.78</v>
      </c>
      <c r="X308" s="111">
        <f t="shared" si="88"/>
        <v>-59750.939999999995</v>
      </c>
      <c r="Y308" s="36" t="s">
        <v>4406</v>
      </c>
      <c r="AI308" s="147">
        <v>17</v>
      </c>
      <c r="AJ308" s="147" t="s">
        <v>4376</v>
      </c>
      <c r="AK308" s="186">
        <v>-1000000</v>
      </c>
      <c r="AL308" s="147">
        <v>7</v>
      </c>
      <c r="AM308" s="147">
        <f t="shared" si="91"/>
        <v>869</v>
      </c>
      <c r="AN308" s="147">
        <f t="shared" si="90"/>
        <v>-869000000</v>
      </c>
      <c r="AO308" s="147" t="s">
        <v>649</v>
      </c>
    </row>
    <row r="309" spans="7:41">
      <c r="G309" s="206" t="s">
        <v>7063</v>
      </c>
      <c r="H309" s="111">
        <v>573666.77206800005</v>
      </c>
      <c r="R309" s="97"/>
      <c r="S309" s="93"/>
      <c r="T309" t="s">
        <v>25</v>
      </c>
      <c r="U309" s="206" t="s">
        <v>5194</v>
      </c>
      <c r="V309" s="206">
        <v>32367</v>
      </c>
      <c r="W309" s="111">
        <v>556.12900000000002</v>
      </c>
      <c r="X309" s="111">
        <f t="shared" si="88"/>
        <v>18000227.343000002</v>
      </c>
      <c r="Y309" s="36" t="s">
        <v>452</v>
      </c>
      <c r="AI309" s="147">
        <v>18</v>
      </c>
      <c r="AJ309" s="147" t="s">
        <v>4396</v>
      </c>
      <c r="AK309" s="186">
        <v>750000</v>
      </c>
      <c r="AL309" s="147">
        <v>1</v>
      </c>
      <c r="AM309" s="147">
        <f t="shared" si="91"/>
        <v>862</v>
      </c>
      <c r="AN309" s="147">
        <f t="shared" si="90"/>
        <v>646500000</v>
      </c>
      <c r="AO309" s="147" t="s">
        <v>649</v>
      </c>
    </row>
    <row r="310" spans="7:41">
      <c r="G310" s="206" t="s">
        <v>7076</v>
      </c>
      <c r="H310" s="111">
        <v>1870018.6536539998</v>
      </c>
      <c r="J310" t="s">
        <v>25</v>
      </c>
      <c r="R310" s="97"/>
      <c r="S310" s="93"/>
      <c r="U310" s="206" t="s">
        <v>5210</v>
      </c>
      <c r="V310" s="206">
        <v>1254</v>
      </c>
      <c r="W310" s="111">
        <v>558.24400000000003</v>
      </c>
      <c r="X310" s="111">
        <f t="shared" si="88"/>
        <v>700037.97600000002</v>
      </c>
      <c r="Y310" s="36" t="s">
        <v>4406</v>
      </c>
      <c r="AI310" s="192">
        <v>19</v>
      </c>
      <c r="AJ310" s="192" t="s">
        <v>4397</v>
      </c>
      <c r="AK310" s="193">
        <v>-604152</v>
      </c>
      <c r="AL310" s="192">
        <v>0</v>
      </c>
      <c r="AM310" s="192">
        <f t="shared" si="91"/>
        <v>861</v>
      </c>
      <c r="AN310" s="192">
        <f t="shared" si="90"/>
        <v>-520174872</v>
      </c>
      <c r="AO310" s="192" t="s">
        <v>649</v>
      </c>
    </row>
    <row r="311" spans="7:41">
      <c r="G311" s="206" t="s">
        <v>7087</v>
      </c>
      <c r="H311" s="111">
        <v>117222.435308</v>
      </c>
      <c r="R311" s="97"/>
      <c r="S311" s="93"/>
      <c r="U311" s="166" t="s">
        <v>5210</v>
      </c>
      <c r="V311" s="206">
        <v>-358</v>
      </c>
      <c r="W311" s="111">
        <v>558.24400000000003</v>
      </c>
      <c r="X311" s="111">
        <f t="shared" si="88"/>
        <v>-199851.35200000001</v>
      </c>
      <c r="Y311" s="36" t="s">
        <v>743</v>
      </c>
      <c r="AA311" t="s">
        <v>25</v>
      </c>
      <c r="AI311" s="97">
        <v>20</v>
      </c>
      <c r="AJ311" s="97" t="s">
        <v>4398</v>
      </c>
      <c r="AK311" s="115">
        <v>-587083</v>
      </c>
      <c r="AL311" s="97">
        <v>4</v>
      </c>
      <c r="AM311" s="97">
        <f t="shared" si="91"/>
        <v>861</v>
      </c>
      <c r="AN311" s="97">
        <f t="shared" si="90"/>
        <v>-505478463</v>
      </c>
      <c r="AO311" s="97"/>
    </row>
    <row r="312" spans="7:41">
      <c r="G312" s="206" t="s">
        <v>7091</v>
      </c>
      <c r="H312" s="111">
        <v>1940857.6749900002</v>
      </c>
      <c r="R312" s="97"/>
      <c r="S312" s="93"/>
      <c r="U312" s="187" t="s">
        <v>5229</v>
      </c>
      <c r="V312" s="187">
        <v>63259</v>
      </c>
      <c r="W312" s="186">
        <v>632.31960000000004</v>
      </c>
      <c r="X312" s="186">
        <f t="shared" si="88"/>
        <v>39999905.576400004</v>
      </c>
      <c r="Y312" s="260" t="s">
        <v>1069</v>
      </c>
      <c r="AI312" s="192">
        <v>21</v>
      </c>
      <c r="AJ312" s="192" t="s">
        <v>4399</v>
      </c>
      <c r="AK312" s="193">
        <v>-754351</v>
      </c>
      <c r="AL312" s="192">
        <v>0</v>
      </c>
      <c r="AM312" s="147">
        <f t="shared" si="91"/>
        <v>857</v>
      </c>
      <c r="AN312" s="192">
        <f t="shared" si="90"/>
        <v>-646478807</v>
      </c>
      <c r="AO312" s="192" t="s">
        <v>649</v>
      </c>
    </row>
    <row r="313" spans="7:41">
      <c r="G313" s="206"/>
      <c r="H313" s="111"/>
      <c r="P313" t="s">
        <v>25</v>
      </c>
      <c r="R313" s="97" t="s">
        <v>25</v>
      </c>
      <c r="S313" s="93"/>
      <c r="U313" s="19" t="s">
        <v>5233</v>
      </c>
      <c r="V313" s="19">
        <v>-1278</v>
      </c>
      <c r="W313" s="115">
        <v>625.98</v>
      </c>
      <c r="X313" s="115">
        <f t="shared" si="88"/>
        <v>-800002.44000000006</v>
      </c>
      <c r="Y313" s="261" t="s">
        <v>5234</v>
      </c>
      <c r="AI313" s="97">
        <v>22</v>
      </c>
      <c r="AJ313" s="97" t="s">
        <v>4399</v>
      </c>
      <c r="AK313" s="115">
        <v>-189619</v>
      </c>
      <c r="AL313" s="97">
        <v>15</v>
      </c>
      <c r="AM313" s="97">
        <f t="shared" si="91"/>
        <v>857</v>
      </c>
      <c r="AN313" s="97">
        <f t="shared" si="90"/>
        <v>-162503483</v>
      </c>
      <c r="AO313" s="97"/>
    </row>
    <row r="314" spans="7:41">
      <c r="G314" s="206"/>
      <c r="H314" s="111"/>
      <c r="P314" t="s">
        <v>25</v>
      </c>
      <c r="R314" s="97"/>
      <c r="S314" s="93">
        <f>SUM(S250:S313)</f>
        <v>158842622.43317199</v>
      </c>
      <c r="U314" s="19" t="s">
        <v>5238</v>
      </c>
      <c r="V314" s="19">
        <v>32049</v>
      </c>
      <c r="W314" s="115">
        <v>624.04600000000005</v>
      </c>
      <c r="X314" s="115">
        <f t="shared" si="88"/>
        <v>20000050.254000001</v>
      </c>
      <c r="Y314" s="261" t="s">
        <v>5103</v>
      </c>
      <c r="AA314" t="s">
        <v>25</v>
      </c>
      <c r="AI314" s="192">
        <v>23</v>
      </c>
      <c r="AJ314" s="192" t="s">
        <v>4459</v>
      </c>
      <c r="AK314" s="186">
        <v>7100</v>
      </c>
      <c r="AL314" s="192">
        <v>0</v>
      </c>
      <c r="AM314" s="147">
        <f t="shared" si="91"/>
        <v>842</v>
      </c>
      <c r="AN314" s="192">
        <f t="shared" si="90"/>
        <v>5978200</v>
      </c>
      <c r="AO314" s="192" t="s">
        <v>649</v>
      </c>
    </row>
    <row r="315" spans="7:41" ht="30">
      <c r="G315" s="206"/>
      <c r="H315" s="111"/>
      <c r="S315" s="97" t="s">
        <v>6</v>
      </c>
      <c r="U315" s="19" t="s">
        <v>5245</v>
      </c>
      <c r="V315" s="19">
        <v>45094</v>
      </c>
      <c r="W315" s="115">
        <v>614.13559759999998</v>
      </c>
      <c r="X315" s="115">
        <f t="shared" si="88"/>
        <v>27693830.6381744</v>
      </c>
      <c r="Y315" s="261" t="s">
        <v>5247</v>
      </c>
      <c r="Z315" t="s">
        <v>25</v>
      </c>
      <c r="AI315" s="20">
        <v>24</v>
      </c>
      <c r="AJ315" s="20" t="s">
        <v>4459</v>
      </c>
      <c r="AK315" s="115">
        <v>-147902</v>
      </c>
      <c r="AL315" s="20">
        <v>3</v>
      </c>
      <c r="AM315" s="97">
        <f t="shared" si="91"/>
        <v>842</v>
      </c>
      <c r="AN315" s="20">
        <f t="shared" si="90"/>
        <v>-124533484</v>
      </c>
      <c r="AO315" s="20"/>
    </row>
    <row r="316" spans="7:41" ht="30">
      <c r="G316" s="206"/>
      <c r="H316" s="111"/>
      <c r="S316" t="s">
        <v>25</v>
      </c>
      <c r="U316" s="19" t="s">
        <v>5272</v>
      </c>
      <c r="V316" s="19">
        <v>-11804</v>
      </c>
      <c r="W316" s="115">
        <v>762.46640000000002</v>
      </c>
      <c r="X316" s="115">
        <f t="shared" si="88"/>
        <v>-9000153.3856000006</v>
      </c>
      <c r="Y316" s="261" t="s">
        <v>5274</v>
      </c>
      <c r="AI316" s="147">
        <v>25</v>
      </c>
      <c r="AJ316" s="147" t="s">
        <v>4467</v>
      </c>
      <c r="AK316" s="186">
        <v>-37200</v>
      </c>
      <c r="AL316" s="147">
        <v>4</v>
      </c>
      <c r="AM316" s="147">
        <f t="shared" si="91"/>
        <v>839</v>
      </c>
      <c r="AN316" s="192">
        <f t="shared" si="90"/>
        <v>-31210800</v>
      </c>
      <c r="AO316" s="147" t="s">
        <v>649</v>
      </c>
    </row>
    <row r="317" spans="7:41">
      <c r="G317" s="206"/>
      <c r="H317" s="111"/>
      <c r="R317" s="97" t="s">
        <v>452</v>
      </c>
      <c r="U317" s="19" t="s">
        <v>5315</v>
      </c>
      <c r="V317" s="19">
        <v>844</v>
      </c>
      <c r="W317" s="115">
        <v>830</v>
      </c>
      <c r="X317" s="115">
        <f t="shared" si="88"/>
        <v>700520</v>
      </c>
      <c r="Y317" s="261" t="s">
        <v>4406</v>
      </c>
      <c r="Z317" t="s">
        <v>25</v>
      </c>
      <c r="AI317" s="97">
        <v>26</v>
      </c>
      <c r="AJ317" s="97" t="s">
        <v>4494</v>
      </c>
      <c r="AK317" s="115">
        <v>-372326</v>
      </c>
      <c r="AL317" s="97">
        <v>21</v>
      </c>
      <c r="AM317" s="97">
        <f t="shared" si="91"/>
        <v>835</v>
      </c>
      <c r="AN317" s="20">
        <f t="shared" si="90"/>
        <v>-310892210</v>
      </c>
      <c r="AO317" s="97"/>
    </row>
    <row r="318" spans="7:41">
      <c r="G318" s="206"/>
      <c r="H318" s="111"/>
      <c r="R318" s="97" t="s">
        <v>4399</v>
      </c>
      <c r="S318" s="97"/>
      <c r="U318" s="19" t="s">
        <v>5319</v>
      </c>
      <c r="V318" s="19">
        <v>8662</v>
      </c>
      <c r="W318" s="115">
        <v>832.57011999999997</v>
      </c>
      <c r="X318" s="115">
        <f t="shared" si="88"/>
        <v>7211722.3794399993</v>
      </c>
      <c r="Y318" s="261" t="s">
        <v>5098</v>
      </c>
      <c r="AA318" t="s">
        <v>25</v>
      </c>
      <c r="AI318" s="97">
        <v>27</v>
      </c>
      <c r="AJ318" s="97" t="s">
        <v>4541</v>
      </c>
      <c r="AK318" s="115">
        <v>235062</v>
      </c>
      <c r="AL318" s="97">
        <v>0</v>
      </c>
      <c r="AM318" s="97">
        <f t="shared" si="91"/>
        <v>814</v>
      </c>
      <c r="AN318" s="20">
        <f t="shared" si="90"/>
        <v>191340468</v>
      </c>
      <c r="AO318" s="97"/>
    </row>
    <row r="319" spans="7:41" ht="30">
      <c r="G319" s="206"/>
      <c r="H319" s="111"/>
      <c r="R319" s="97" t="s">
        <v>4443</v>
      </c>
      <c r="S319" s="93">
        <v>63115000</v>
      </c>
      <c r="U319" s="19" t="s">
        <v>5320</v>
      </c>
      <c r="V319" s="19">
        <v>10253</v>
      </c>
      <c r="W319" s="115">
        <v>827.2568</v>
      </c>
      <c r="X319" s="115">
        <f t="shared" si="88"/>
        <v>8481863.9704</v>
      </c>
      <c r="Y319" s="261" t="s">
        <v>5323</v>
      </c>
      <c r="AB319" t="s">
        <v>25</v>
      </c>
      <c r="AI319" s="147">
        <v>28</v>
      </c>
      <c r="AJ319" s="147" t="s">
        <v>4541</v>
      </c>
      <c r="AK319" s="186">
        <v>235062</v>
      </c>
      <c r="AL319" s="147">
        <v>9</v>
      </c>
      <c r="AM319" s="97">
        <f t="shared" si="91"/>
        <v>814</v>
      </c>
      <c r="AN319" s="147">
        <f t="shared" si="90"/>
        <v>191340468</v>
      </c>
      <c r="AO319" s="147" t="s">
        <v>649</v>
      </c>
    </row>
    <row r="320" spans="7:41">
      <c r="G320" s="206"/>
      <c r="H320" s="111"/>
      <c r="R320" s="97" t="s">
        <v>4451</v>
      </c>
      <c r="S320" s="93">
        <v>13300000</v>
      </c>
      <c r="U320" s="230" t="s">
        <v>5324</v>
      </c>
      <c r="V320" s="230">
        <v>-33077</v>
      </c>
      <c r="W320" s="231">
        <v>786.02973999999995</v>
      </c>
      <c r="X320" s="231">
        <f t="shared" si="88"/>
        <v>-25999505.70998</v>
      </c>
      <c r="Y320" s="269" t="s">
        <v>5326</v>
      </c>
      <c r="AI320" s="147">
        <v>29</v>
      </c>
      <c r="AJ320" s="147" t="s">
        <v>4559</v>
      </c>
      <c r="AK320" s="186">
        <v>450000</v>
      </c>
      <c r="AL320" s="147">
        <v>0</v>
      </c>
      <c r="AM320" s="97">
        <f t="shared" si="91"/>
        <v>805</v>
      </c>
      <c r="AN320" s="147">
        <f t="shared" si="90"/>
        <v>362250000</v>
      </c>
      <c r="AO320" s="147" t="s">
        <v>649</v>
      </c>
    </row>
    <row r="321" spans="7:45">
      <c r="G321" s="206" t="s">
        <v>5472</v>
      </c>
      <c r="H321" s="111">
        <v>-87000000</v>
      </c>
      <c r="R321" s="97" t="s">
        <v>4549</v>
      </c>
      <c r="S321" s="93">
        <v>2269000</v>
      </c>
      <c r="U321" s="19" t="s">
        <v>5324</v>
      </c>
      <c r="V321" s="19">
        <v>-33077</v>
      </c>
      <c r="W321" s="115">
        <v>786.02973999999995</v>
      </c>
      <c r="X321" s="115">
        <f t="shared" si="88"/>
        <v>-25999505.70998</v>
      </c>
      <c r="Y321" s="261" t="s">
        <v>5327</v>
      </c>
      <c r="Z321" t="s">
        <v>25</v>
      </c>
      <c r="AI321" s="20">
        <v>30</v>
      </c>
      <c r="AJ321" s="20" t="s">
        <v>4559</v>
      </c>
      <c r="AK321" s="115">
        <v>450000</v>
      </c>
      <c r="AL321" s="20">
        <v>22</v>
      </c>
      <c r="AM321" s="97">
        <f>AL321+AM322</f>
        <v>805</v>
      </c>
      <c r="AN321" s="20">
        <f t="shared" si="90"/>
        <v>362250000</v>
      </c>
      <c r="AO321" s="20"/>
    </row>
    <row r="322" spans="7:45">
      <c r="G322" s="206"/>
      <c r="H322" s="111"/>
      <c r="R322" s="97" t="s">
        <v>4558</v>
      </c>
      <c r="S322" s="93">
        <v>25071612</v>
      </c>
      <c r="U322" s="19" t="s">
        <v>5324</v>
      </c>
      <c r="V322" s="19">
        <v>1983</v>
      </c>
      <c r="W322" s="115">
        <v>786.02973999999995</v>
      </c>
      <c r="X322" s="115">
        <f t="shared" si="88"/>
        <v>1558696.9744199999</v>
      </c>
      <c r="Y322" s="261" t="s">
        <v>5098</v>
      </c>
      <c r="AI322" s="147">
        <v>31</v>
      </c>
      <c r="AJ322" s="147" t="s">
        <v>4619</v>
      </c>
      <c r="AK322" s="186">
        <v>300000</v>
      </c>
      <c r="AL322" s="147">
        <v>0</v>
      </c>
      <c r="AM322" s="147">
        <f t="shared" ref="AM322:AM337" si="92">AL322+AM323</f>
        <v>783</v>
      </c>
      <c r="AN322" s="147">
        <f t="shared" ref="AN322:AN331" si="93">AK322*AM322</f>
        <v>234900000</v>
      </c>
      <c r="AO322" s="147"/>
    </row>
    <row r="323" spans="7:45" ht="30">
      <c r="G323" s="206"/>
      <c r="H323" s="1"/>
      <c r="R323" s="97" t="s">
        <v>4559</v>
      </c>
      <c r="S323" s="93">
        <v>42236984</v>
      </c>
      <c r="U323" s="230" t="s">
        <v>5328</v>
      </c>
      <c r="V323" s="230">
        <v>-119753</v>
      </c>
      <c r="W323" s="231">
        <v>800.81560000000002</v>
      </c>
      <c r="X323" s="231">
        <f t="shared" si="88"/>
        <v>-95900070.546800002</v>
      </c>
      <c r="Y323" s="269" t="s">
        <v>5326</v>
      </c>
      <c r="AI323" s="119">
        <v>32</v>
      </c>
      <c r="AJ323" s="119" t="s">
        <v>4619</v>
      </c>
      <c r="AK323" s="77">
        <v>288936</v>
      </c>
      <c r="AL323" s="119">
        <v>3</v>
      </c>
      <c r="AM323" s="119">
        <f t="shared" si="92"/>
        <v>783</v>
      </c>
      <c r="AN323" s="119">
        <f t="shared" si="93"/>
        <v>226236888</v>
      </c>
      <c r="AO323" s="201" t="s">
        <v>4630</v>
      </c>
    </row>
    <row r="324" spans="7:45">
      <c r="G324" s="206"/>
      <c r="H324" s="1"/>
      <c r="R324" s="97" t="s">
        <v>4580</v>
      </c>
      <c r="S324" s="93">
        <v>19663646</v>
      </c>
      <c r="U324" s="19" t="s">
        <v>5328</v>
      </c>
      <c r="V324" s="19">
        <v>-119753</v>
      </c>
      <c r="W324" s="115">
        <v>800.81560000000002</v>
      </c>
      <c r="X324" s="115">
        <f t="shared" si="88"/>
        <v>-95900070.546800002</v>
      </c>
      <c r="Y324" s="261" t="s">
        <v>5327</v>
      </c>
      <c r="AI324" s="119">
        <v>33</v>
      </c>
      <c r="AJ324" s="119" t="s">
        <v>4628</v>
      </c>
      <c r="AK324" s="77">
        <v>17962491</v>
      </c>
      <c r="AL324" s="119">
        <v>1</v>
      </c>
      <c r="AM324" s="119">
        <f t="shared" si="92"/>
        <v>780</v>
      </c>
      <c r="AN324" s="119">
        <f t="shared" si="93"/>
        <v>14010742980</v>
      </c>
      <c r="AO324" s="119" t="s">
        <v>4635</v>
      </c>
    </row>
    <row r="325" spans="7:45">
      <c r="G325" s="206"/>
      <c r="H325" s="1"/>
      <c r="R325" s="97" t="s">
        <v>4591</v>
      </c>
      <c r="S325" s="93">
        <v>4374525</v>
      </c>
      <c r="T325" s="112"/>
      <c r="U325" s="19" t="s">
        <v>5328</v>
      </c>
      <c r="V325" s="19">
        <v>11291</v>
      </c>
      <c r="W325" s="115">
        <v>800.81560000000002</v>
      </c>
      <c r="X325" s="115">
        <f t="shared" si="88"/>
        <v>9042008.9396000002</v>
      </c>
      <c r="Y325" s="261" t="s">
        <v>452</v>
      </c>
      <c r="AB325" t="s">
        <v>25</v>
      </c>
      <c r="AI325" s="119">
        <v>34</v>
      </c>
      <c r="AJ325" s="119" t="s">
        <v>3666</v>
      </c>
      <c r="AK325" s="77">
        <v>18363511</v>
      </c>
      <c r="AL325" s="119">
        <v>1</v>
      </c>
      <c r="AM325" s="119">
        <f t="shared" si="92"/>
        <v>779</v>
      </c>
      <c r="AN325" s="119">
        <f t="shared" si="93"/>
        <v>14305175069</v>
      </c>
      <c r="AO325" s="119" t="s">
        <v>4635</v>
      </c>
    </row>
    <row r="326" spans="7:45">
      <c r="G326" s="206" t="s">
        <v>6</v>
      </c>
      <c r="H326" s="1">
        <f>SUM(H166:H325)</f>
        <v>1535618842.3418114</v>
      </c>
      <c r="R326" s="97" t="s">
        <v>4593</v>
      </c>
      <c r="S326" s="93">
        <v>6550580</v>
      </c>
      <c r="U326" s="187" t="s">
        <v>5329</v>
      </c>
      <c r="V326" s="187">
        <v>-35361</v>
      </c>
      <c r="W326" s="186">
        <v>818.697</v>
      </c>
      <c r="X326" s="186">
        <f t="shared" si="88"/>
        <v>-28949944.616999999</v>
      </c>
      <c r="Y326" s="260" t="s">
        <v>5326</v>
      </c>
      <c r="Z326" t="s">
        <v>25</v>
      </c>
      <c r="AI326" s="119">
        <v>35</v>
      </c>
      <c r="AJ326" s="119" t="s">
        <v>4640</v>
      </c>
      <c r="AK326" s="77">
        <v>23622417</v>
      </c>
      <c r="AL326" s="119">
        <v>5</v>
      </c>
      <c r="AM326" s="119">
        <f t="shared" si="92"/>
        <v>778</v>
      </c>
      <c r="AN326" s="119">
        <f t="shared" si="93"/>
        <v>18378240426</v>
      </c>
      <c r="AO326" s="119" t="s">
        <v>4642</v>
      </c>
    </row>
    <row r="327" spans="7:45">
      <c r="G327" s="280"/>
      <c r="H327" s="1"/>
      <c r="R327" s="97" t="s">
        <v>4606</v>
      </c>
      <c r="S327" s="93">
        <v>7054895</v>
      </c>
      <c r="U327" s="19" t="s">
        <v>5329</v>
      </c>
      <c r="V327" s="19">
        <v>-35361</v>
      </c>
      <c r="W327" s="115">
        <v>818.697</v>
      </c>
      <c r="X327" s="115">
        <f t="shared" si="88"/>
        <v>-28949944.616999999</v>
      </c>
      <c r="Y327" s="261" t="s">
        <v>5327</v>
      </c>
      <c r="Z327" t="s">
        <v>25</v>
      </c>
      <c r="AA327" t="s">
        <v>25</v>
      </c>
      <c r="AI327" s="119">
        <v>36</v>
      </c>
      <c r="AJ327" s="119" t="s">
        <v>4654</v>
      </c>
      <c r="AK327" s="77">
        <v>82496108</v>
      </c>
      <c r="AL327" s="119">
        <v>1</v>
      </c>
      <c r="AM327" s="119">
        <f t="shared" si="92"/>
        <v>773</v>
      </c>
      <c r="AN327" s="119">
        <f t="shared" si="93"/>
        <v>63769491484</v>
      </c>
      <c r="AO327" s="119" t="s">
        <v>4657</v>
      </c>
    </row>
    <row r="328" spans="7:45">
      <c r="R328" s="97" t="s">
        <v>4617</v>
      </c>
      <c r="S328" s="93">
        <v>2145814</v>
      </c>
      <c r="U328" s="19" t="s">
        <v>5329</v>
      </c>
      <c r="V328" s="19">
        <v>116</v>
      </c>
      <c r="W328" s="115">
        <v>818.697</v>
      </c>
      <c r="X328" s="115">
        <f t="shared" si="88"/>
        <v>94968.851999999999</v>
      </c>
      <c r="Y328" s="261" t="s">
        <v>5098</v>
      </c>
      <c r="AI328" s="119">
        <v>37</v>
      </c>
      <c r="AJ328" s="119" t="s">
        <v>4656</v>
      </c>
      <c r="AK328" s="77">
        <v>74657561</v>
      </c>
      <c r="AL328" s="119">
        <v>16</v>
      </c>
      <c r="AM328" s="119">
        <f t="shared" si="92"/>
        <v>772</v>
      </c>
      <c r="AN328" s="119">
        <f t="shared" si="93"/>
        <v>57635637092</v>
      </c>
      <c r="AO328" s="119" t="s">
        <v>4662</v>
      </c>
    </row>
    <row r="329" spans="7:45">
      <c r="R329" s="97" t="s">
        <v>4619</v>
      </c>
      <c r="S329" s="93">
        <v>4369730</v>
      </c>
      <c r="U329" s="19" t="s">
        <v>5333</v>
      </c>
      <c r="V329" s="19">
        <v>48633</v>
      </c>
      <c r="W329" s="115">
        <v>822.47199999999998</v>
      </c>
      <c r="X329" s="115">
        <f t="shared" si="88"/>
        <v>39999280.776000001</v>
      </c>
      <c r="Y329" s="261" t="s">
        <v>5336</v>
      </c>
      <c r="AB329" t="s">
        <v>25</v>
      </c>
      <c r="AI329" s="97">
        <v>38</v>
      </c>
      <c r="AJ329" s="97" t="s">
        <v>4725</v>
      </c>
      <c r="AK329" s="115">
        <v>665000</v>
      </c>
      <c r="AL329" s="97">
        <v>0</v>
      </c>
      <c r="AM329" s="97">
        <f t="shared" si="92"/>
        <v>756</v>
      </c>
      <c r="AN329" s="20">
        <f t="shared" si="93"/>
        <v>502740000</v>
      </c>
      <c r="AO329" s="97"/>
    </row>
    <row r="330" spans="7:45">
      <c r="G330" s="94"/>
      <c r="H330" s="9" t="s">
        <v>452</v>
      </c>
      <c r="R330" s="97" t="s">
        <v>4628</v>
      </c>
      <c r="S330" s="93">
        <v>8739459</v>
      </c>
      <c r="U330" s="19" t="s">
        <v>5333</v>
      </c>
      <c r="V330" s="19">
        <v>3412</v>
      </c>
      <c r="W330" s="115">
        <v>822.47199999999998</v>
      </c>
      <c r="X330" s="115">
        <f t="shared" si="88"/>
        <v>2806274.4640000002</v>
      </c>
      <c r="Y330" s="261" t="s">
        <v>5338</v>
      </c>
      <c r="AI330" s="147">
        <v>39</v>
      </c>
      <c r="AJ330" s="147" t="s">
        <v>4725</v>
      </c>
      <c r="AK330" s="186">
        <v>665000</v>
      </c>
      <c r="AL330" s="147">
        <v>4</v>
      </c>
      <c r="AM330" s="192">
        <f t="shared" si="92"/>
        <v>756</v>
      </c>
      <c r="AN330" s="192">
        <f t="shared" si="93"/>
        <v>502740000</v>
      </c>
      <c r="AO330" s="192"/>
    </row>
    <row r="331" spans="7:45">
      <c r="G331" s="94"/>
      <c r="H331" s="9" t="s">
        <v>743</v>
      </c>
      <c r="R331" s="97" t="s">
        <v>3666</v>
      </c>
      <c r="S331" s="93">
        <v>6667654</v>
      </c>
      <c r="U331" s="19" t="s">
        <v>5334</v>
      </c>
      <c r="V331" s="19">
        <v>1531</v>
      </c>
      <c r="W331" s="115">
        <v>869.82500000000005</v>
      </c>
      <c r="X331" s="115">
        <f t="shared" si="88"/>
        <v>1331702.075</v>
      </c>
      <c r="Y331" s="261" t="s">
        <v>5339</v>
      </c>
      <c r="AI331" s="20">
        <v>40</v>
      </c>
      <c r="AJ331" s="20" t="s">
        <v>4734</v>
      </c>
      <c r="AK331" s="115">
        <v>2000000</v>
      </c>
      <c r="AL331" s="20">
        <v>1</v>
      </c>
      <c r="AM331" s="97">
        <f t="shared" si="92"/>
        <v>752</v>
      </c>
      <c r="AN331" s="20">
        <f t="shared" si="93"/>
        <v>1504000000</v>
      </c>
      <c r="AO331" s="97"/>
    </row>
    <row r="332" spans="7:45">
      <c r="G332" s="94"/>
      <c r="H332" s="9" t="s">
        <v>5406</v>
      </c>
      <c r="R332" s="97" t="s">
        <v>4640</v>
      </c>
      <c r="S332" s="93">
        <v>8981245</v>
      </c>
      <c r="U332" s="19" t="s">
        <v>5342</v>
      </c>
      <c r="V332" s="19">
        <v>1019</v>
      </c>
      <c r="W332" s="115">
        <v>835.36580000000004</v>
      </c>
      <c r="X332" s="115">
        <f t="shared" si="88"/>
        <v>851237.75020000001</v>
      </c>
      <c r="Y332" s="261" t="s">
        <v>452</v>
      </c>
      <c r="AI332" s="20">
        <v>41</v>
      </c>
      <c r="AJ332" s="20" t="s">
        <v>4739</v>
      </c>
      <c r="AK332" s="115">
        <v>-2060725</v>
      </c>
      <c r="AL332" s="20">
        <v>0</v>
      </c>
      <c r="AM332" s="97">
        <f t="shared" si="92"/>
        <v>751</v>
      </c>
      <c r="AN332" s="20">
        <f t="shared" ref="AN332:AN337" si="94">AK332*AM332</f>
        <v>-1547604475</v>
      </c>
      <c r="AO332" s="97" t="s">
        <v>4740</v>
      </c>
      <c r="AS332" t="s">
        <v>25</v>
      </c>
    </row>
    <row r="333" spans="7:45">
      <c r="G333" s="94"/>
      <c r="H333" s="9" t="s">
        <v>1069</v>
      </c>
      <c r="R333" s="97" t="s">
        <v>4643</v>
      </c>
      <c r="S333" s="93">
        <v>9181756</v>
      </c>
      <c r="U333" s="187" t="s">
        <v>5348</v>
      </c>
      <c r="V333" s="187">
        <v>2316</v>
      </c>
      <c r="W333" s="186">
        <v>818.697</v>
      </c>
      <c r="X333" s="186">
        <f t="shared" si="88"/>
        <v>1896102.2520000001</v>
      </c>
      <c r="Y333" s="260" t="s">
        <v>5351</v>
      </c>
      <c r="AI333" s="147">
        <v>42</v>
      </c>
      <c r="AJ333" s="147" t="s">
        <v>4739</v>
      </c>
      <c r="AK333" s="186">
        <v>-433375</v>
      </c>
      <c r="AL333" s="147">
        <v>0</v>
      </c>
      <c r="AM333" s="147">
        <f t="shared" si="92"/>
        <v>751</v>
      </c>
      <c r="AN333" s="147">
        <f t="shared" si="94"/>
        <v>-325464625</v>
      </c>
      <c r="AO333" s="147" t="s">
        <v>4741</v>
      </c>
    </row>
    <row r="334" spans="7:45">
      <c r="H334" s="9" t="s">
        <v>5344</v>
      </c>
      <c r="R334" s="97" t="s">
        <v>4656</v>
      </c>
      <c r="S334" s="93">
        <v>11811208</v>
      </c>
      <c r="U334" s="19" t="s">
        <v>5354</v>
      </c>
      <c r="V334" s="19">
        <v>315</v>
      </c>
      <c r="W334" s="115">
        <v>680</v>
      </c>
      <c r="X334" s="115">
        <f t="shared" si="88"/>
        <v>214200</v>
      </c>
      <c r="Y334" s="261" t="s">
        <v>5098</v>
      </c>
      <c r="AI334" s="20">
        <v>43</v>
      </c>
      <c r="AJ334" s="20" t="s">
        <v>4739</v>
      </c>
      <c r="AK334" s="115">
        <v>28000000</v>
      </c>
      <c r="AL334" s="20">
        <v>1</v>
      </c>
      <c r="AM334" s="97">
        <f t="shared" si="92"/>
        <v>751</v>
      </c>
      <c r="AN334" s="20">
        <f t="shared" si="94"/>
        <v>21028000000</v>
      </c>
      <c r="AO334" s="97" t="s">
        <v>3873</v>
      </c>
    </row>
    <row r="335" spans="7:45">
      <c r="H335" s="9" t="s">
        <v>5506</v>
      </c>
      <c r="R335" s="97" t="s">
        <v>4663</v>
      </c>
      <c r="S335" s="93">
        <v>41248054</v>
      </c>
      <c r="U335" s="19" t="s">
        <v>5376</v>
      </c>
      <c r="V335" s="19">
        <v>832</v>
      </c>
      <c r="W335" s="115">
        <v>784.36500000000001</v>
      </c>
      <c r="X335" s="115">
        <f t="shared" si="88"/>
        <v>652591.68000000005</v>
      </c>
      <c r="Y335" s="261" t="s">
        <v>5098</v>
      </c>
      <c r="Z335" t="s">
        <v>25</v>
      </c>
      <c r="AI335" s="20">
        <v>44</v>
      </c>
      <c r="AJ335" s="20" t="s">
        <v>4748</v>
      </c>
      <c r="AK335" s="115">
        <v>160000</v>
      </c>
      <c r="AL335" s="20">
        <v>0</v>
      </c>
      <c r="AM335" s="97">
        <f t="shared" si="92"/>
        <v>750</v>
      </c>
      <c r="AN335" s="20">
        <f t="shared" si="94"/>
        <v>120000000</v>
      </c>
      <c r="AO335" s="97"/>
    </row>
    <row r="336" spans="7:45">
      <c r="H336" s="281" t="s">
        <v>5507</v>
      </c>
      <c r="R336" s="97" t="s">
        <v>4669</v>
      </c>
      <c r="S336" s="93">
        <v>37328780</v>
      </c>
      <c r="U336" s="19" t="s">
        <v>5419</v>
      </c>
      <c r="V336" s="19">
        <v>382</v>
      </c>
      <c r="W336" s="115">
        <v>1450.6065000000001</v>
      </c>
      <c r="X336" s="115">
        <f t="shared" si="88"/>
        <v>554131.68300000008</v>
      </c>
      <c r="Y336" s="261" t="s">
        <v>5098</v>
      </c>
      <c r="Z336" t="s">
        <v>25</v>
      </c>
      <c r="AI336" s="147">
        <v>45</v>
      </c>
      <c r="AJ336" s="147" t="s">
        <v>4748</v>
      </c>
      <c r="AK336" s="186">
        <v>70000</v>
      </c>
      <c r="AL336" s="147">
        <v>9</v>
      </c>
      <c r="AM336" s="147">
        <f t="shared" si="92"/>
        <v>750</v>
      </c>
      <c r="AN336" s="147">
        <f t="shared" si="94"/>
        <v>52500000</v>
      </c>
      <c r="AO336" s="147"/>
      <c r="AS336" t="s">
        <v>25</v>
      </c>
    </row>
    <row r="337" spans="8:47">
      <c r="H337" s="281" t="s">
        <v>743</v>
      </c>
      <c r="R337" s="97" t="s">
        <v>4725</v>
      </c>
      <c r="S337" s="93">
        <v>50000000</v>
      </c>
      <c r="U337" s="19" t="s">
        <v>5420</v>
      </c>
      <c r="V337" s="19">
        <v>50047</v>
      </c>
      <c r="W337" s="115">
        <v>1406.14</v>
      </c>
      <c r="X337" s="115">
        <f t="shared" si="88"/>
        <v>70373088.579999998</v>
      </c>
      <c r="Y337" s="261" t="s">
        <v>5098</v>
      </c>
      <c r="AA337" t="s">
        <v>25</v>
      </c>
      <c r="AI337" s="20">
        <v>46</v>
      </c>
      <c r="AJ337" s="20" t="s">
        <v>4754</v>
      </c>
      <c r="AK337" s="115">
        <v>850000</v>
      </c>
      <c r="AL337" s="20">
        <v>0</v>
      </c>
      <c r="AM337" s="97">
        <f t="shared" si="92"/>
        <v>741</v>
      </c>
      <c r="AN337" s="20">
        <f t="shared" si="94"/>
        <v>629850000</v>
      </c>
      <c r="AO337" s="97"/>
      <c r="AT337" t="s">
        <v>25</v>
      </c>
    </row>
    <row r="338" spans="8:47">
      <c r="H338" s="9" t="s">
        <v>5508</v>
      </c>
      <c r="R338" s="97" t="s">
        <v>4734</v>
      </c>
      <c r="S338" s="93">
        <v>68656</v>
      </c>
      <c r="U338" s="19" t="s">
        <v>5421</v>
      </c>
      <c r="V338" s="19">
        <v>846</v>
      </c>
      <c r="W338" s="115">
        <v>1441.6724569999999</v>
      </c>
      <c r="X338" s="115">
        <f t="shared" si="88"/>
        <v>1219654.8986219999</v>
      </c>
      <c r="Y338" s="261" t="s">
        <v>5098</v>
      </c>
      <c r="Z338" t="s">
        <v>25</v>
      </c>
      <c r="AA338" t="s">
        <v>25</v>
      </c>
      <c r="AI338" s="192">
        <v>47</v>
      </c>
      <c r="AJ338" s="192" t="s">
        <v>4754</v>
      </c>
      <c r="AK338" s="193">
        <v>20000</v>
      </c>
      <c r="AL338" s="192">
        <v>4</v>
      </c>
      <c r="AM338" s="192">
        <f t="shared" ref="AM338:AM346" si="95">AL338+AM339</f>
        <v>741</v>
      </c>
      <c r="AN338" s="192">
        <f t="shared" ref="AN338:AN346" si="96">AK338*AM338</f>
        <v>14820000</v>
      </c>
      <c r="AO338" s="192"/>
      <c r="AS338" t="s">
        <v>25</v>
      </c>
      <c r="AU338" s="94" t="s">
        <v>25</v>
      </c>
    </row>
    <row r="339" spans="8:47">
      <c r="H339" s="9" t="s">
        <v>5509</v>
      </c>
      <c r="R339" s="97" t="s">
        <v>4734</v>
      </c>
      <c r="S339" s="93">
        <v>4000236</v>
      </c>
      <c r="U339" s="19" t="s">
        <v>5422</v>
      </c>
      <c r="V339" s="19">
        <v>10573</v>
      </c>
      <c r="W339" s="115">
        <v>1451.825</v>
      </c>
      <c r="X339" s="115">
        <f t="shared" si="88"/>
        <v>15350145.725</v>
      </c>
      <c r="Y339" s="261" t="s">
        <v>5098</v>
      </c>
      <c r="Z339" t="s">
        <v>25</v>
      </c>
      <c r="AI339" s="192">
        <v>48</v>
      </c>
      <c r="AJ339" s="192" t="s">
        <v>4767</v>
      </c>
      <c r="AK339" s="193">
        <v>30000000</v>
      </c>
      <c r="AL339" s="192">
        <v>27</v>
      </c>
      <c r="AM339" s="192">
        <f t="shared" si="95"/>
        <v>737</v>
      </c>
      <c r="AN339" s="192">
        <f t="shared" si="96"/>
        <v>22110000000</v>
      </c>
      <c r="AO339" s="192" t="s">
        <v>4768</v>
      </c>
      <c r="AT339" t="s">
        <v>25</v>
      </c>
    </row>
    <row r="340" spans="8:47" ht="30">
      <c r="H340" s="9" t="s">
        <v>5536</v>
      </c>
      <c r="R340" s="97" t="s">
        <v>4739</v>
      </c>
      <c r="S340" s="93">
        <v>2250000</v>
      </c>
      <c r="U340" s="19" t="s">
        <v>5423</v>
      </c>
      <c r="V340" s="19">
        <v>85</v>
      </c>
      <c r="W340" s="115">
        <v>1423.74</v>
      </c>
      <c r="X340" s="115">
        <f t="shared" si="88"/>
        <v>121017.9</v>
      </c>
      <c r="Y340" s="261" t="s">
        <v>5424</v>
      </c>
      <c r="Z340" t="s">
        <v>25</v>
      </c>
      <c r="AI340" s="20">
        <v>49</v>
      </c>
      <c r="AJ340" s="20" t="s">
        <v>4835</v>
      </c>
      <c r="AK340" s="115">
        <v>1100000</v>
      </c>
      <c r="AL340" s="20">
        <v>1</v>
      </c>
      <c r="AM340" s="20">
        <f t="shared" si="95"/>
        <v>710</v>
      </c>
      <c r="AN340" s="20">
        <f t="shared" si="96"/>
        <v>781000000</v>
      </c>
      <c r="AO340" s="20"/>
    </row>
    <row r="341" spans="8:47" ht="30">
      <c r="H341" s="281"/>
      <c r="R341" s="97" t="s">
        <v>4748</v>
      </c>
      <c r="S341" s="93">
        <v>-2512200</v>
      </c>
      <c r="U341" s="19" t="s">
        <v>5427</v>
      </c>
      <c r="V341" s="19">
        <v>738</v>
      </c>
      <c r="W341" s="115">
        <v>1388.87895</v>
      </c>
      <c r="X341" s="115">
        <f t="shared" si="88"/>
        <v>1024992.6651</v>
      </c>
      <c r="Y341" s="261" t="s">
        <v>5431</v>
      </c>
      <c r="Z341" t="s">
        <v>25</v>
      </c>
      <c r="AI341" s="20">
        <v>50</v>
      </c>
      <c r="AJ341" s="20" t="s">
        <v>4836</v>
      </c>
      <c r="AK341" s="115">
        <v>450000</v>
      </c>
      <c r="AL341" s="20">
        <v>0</v>
      </c>
      <c r="AM341" s="20">
        <f t="shared" si="95"/>
        <v>709</v>
      </c>
      <c r="AN341" s="20">
        <f t="shared" si="96"/>
        <v>319050000</v>
      </c>
      <c r="AO341" s="20"/>
    </row>
    <row r="342" spans="8:47">
      <c r="R342" s="97" t="s">
        <v>964</v>
      </c>
      <c r="S342" s="93">
        <v>300000</v>
      </c>
      <c r="U342" s="19" t="s">
        <v>5439</v>
      </c>
      <c r="V342" s="19">
        <v>1442</v>
      </c>
      <c r="W342" s="115">
        <v>1350.9547279999999</v>
      </c>
      <c r="X342" s="115">
        <f t="shared" si="88"/>
        <v>1948076.7177759998</v>
      </c>
      <c r="Y342" s="261" t="s">
        <v>5098</v>
      </c>
      <c r="AB342" t="s">
        <v>25</v>
      </c>
      <c r="AI342" s="147">
        <v>51</v>
      </c>
      <c r="AJ342" s="147" t="s">
        <v>4836</v>
      </c>
      <c r="AK342" s="186">
        <v>550000</v>
      </c>
      <c r="AL342" s="147">
        <v>1</v>
      </c>
      <c r="AM342" s="147">
        <f t="shared" si="95"/>
        <v>709</v>
      </c>
      <c r="AN342" s="147">
        <f t="shared" si="96"/>
        <v>389950000</v>
      </c>
      <c r="AO342" s="147"/>
    </row>
    <row r="343" spans="8:47">
      <c r="R343" s="97" t="s">
        <v>4754</v>
      </c>
      <c r="S343" s="93">
        <v>1100000</v>
      </c>
      <c r="U343" s="19" t="s">
        <v>5440</v>
      </c>
      <c r="V343" s="19">
        <v>36847</v>
      </c>
      <c r="W343" s="115">
        <v>1356.9658300000001</v>
      </c>
      <c r="X343" s="115">
        <f t="shared" si="88"/>
        <v>50000119.938010007</v>
      </c>
      <c r="Y343" s="261" t="s">
        <v>5103</v>
      </c>
      <c r="AI343" s="147">
        <v>52</v>
      </c>
      <c r="AJ343" s="147" t="s">
        <v>4838</v>
      </c>
      <c r="AK343" s="186">
        <v>1000000</v>
      </c>
      <c r="AL343" s="147">
        <v>8</v>
      </c>
      <c r="AM343" s="147">
        <f t="shared" si="95"/>
        <v>708</v>
      </c>
      <c r="AN343" s="147">
        <f t="shared" si="96"/>
        <v>708000000</v>
      </c>
      <c r="AO343" s="147"/>
    </row>
    <row r="344" spans="8:47" ht="30">
      <c r="R344" s="97" t="s">
        <v>4774</v>
      </c>
      <c r="S344" s="93">
        <v>890000</v>
      </c>
      <c r="U344" s="19" t="s">
        <v>5441</v>
      </c>
      <c r="V344" s="19">
        <v>13738</v>
      </c>
      <c r="W344" s="115">
        <v>1455.82</v>
      </c>
      <c r="X344" s="115">
        <f t="shared" si="88"/>
        <v>20000055.16</v>
      </c>
      <c r="Y344" s="261" t="s">
        <v>5457</v>
      </c>
      <c r="Z344" t="s">
        <v>25</v>
      </c>
      <c r="AB344" t="s">
        <v>25</v>
      </c>
      <c r="AI344" s="20">
        <v>53</v>
      </c>
      <c r="AJ344" s="20" t="s">
        <v>4847</v>
      </c>
      <c r="AK344" s="115">
        <v>-2668880</v>
      </c>
      <c r="AL344" s="20">
        <v>0</v>
      </c>
      <c r="AM344" s="20">
        <f t="shared" si="95"/>
        <v>700</v>
      </c>
      <c r="AN344" s="20">
        <f t="shared" si="96"/>
        <v>-1868216000</v>
      </c>
      <c r="AO344" s="20" t="s">
        <v>4849</v>
      </c>
    </row>
    <row r="345" spans="8:47">
      <c r="R345" s="97" t="s">
        <v>4775</v>
      </c>
      <c r="S345" s="93">
        <v>1000000</v>
      </c>
      <c r="U345" s="19" t="s">
        <v>5464</v>
      </c>
      <c r="V345" s="19">
        <v>3100</v>
      </c>
      <c r="W345" s="115">
        <v>1853.4507470000001</v>
      </c>
      <c r="X345" s="115">
        <f t="shared" si="88"/>
        <v>5745697.3157000002</v>
      </c>
      <c r="Y345" s="261" t="s">
        <v>5098</v>
      </c>
      <c r="Z345" t="s">
        <v>25</v>
      </c>
      <c r="AI345" s="147">
        <v>54</v>
      </c>
      <c r="AJ345" s="147" t="s">
        <v>4847</v>
      </c>
      <c r="AK345" s="186">
        <v>-1528620</v>
      </c>
      <c r="AL345" s="147">
        <v>0</v>
      </c>
      <c r="AM345" s="147">
        <f t="shared" si="95"/>
        <v>700</v>
      </c>
      <c r="AN345" s="147">
        <f t="shared" si="96"/>
        <v>-1070034000</v>
      </c>
      <c r="AO345" s="147" t="s">
        <v>4849</v>
      </c>
    </row>
    <row r="346" spans="8:47">
      <c r="R346" s="97" t="s">
        <v>4775</v>
      </c>
      <c r="S346" s="93">
        <v>45436311</v>
      </c>
      <c r="U346" s="19" t="s">
        <v>5465</v>
      </c>
      <c r="V346" s="19">
        <v>480</v>
      </c>
      <c r="W346" s="115">
        <v>1891.9962069999999</v>
      </c>
      <c r="X346" s="115">
        <f t="shared" si="88"/>
        <v>908158.17935999995</v>
      </c>
      <c r="Y346" s="261" t="s">
        <v>5098</v>
      </c>
      <c r="Z346" t="s">
        <v>25</v>
      </c>
      <c r="AI346" s="20">
        <v>55</v>
      </c>
      <c r="AJ346" s="20" t="s">
        <v>4847</v>
      </c>
      <c r="AK346" s="115">
        <v>50000000</v>
      </c>
      <c r="AL346" s="20">
        <v>4</v>
      </c>
      <c r="AM346" s="20">
        <f t="shared" si="95"/>
        <v>700</v>
      </c>
      <c r="AN346" s="20">
        <f t="shared" si="96"/>
        <v>35000000000</v>
      </c>
      <c r="AO346" s="20"/>
    </row>
    <row r="347" spans="8:47">
      <c r="R347" s="97" t="s">
        <v>4787</v>
      </c>
      <c r="S347" s="93">
        <v>-3500000</v>
      </c>
      <c r="U347" s="19" t="s">
        <v>5466</v>
      </c>
      <c r="V347" s="19">
        <v>6522</v>
      </c>
      <c r="W347" s="115">
        <v>1938.4694340000001</v>
      </c>
      <c r="X347" s="115">
        <f t="shared" si="88"/>
        <v>12642697.648548001</v>
      </c>
      <c r="Y347" s="261" t="s">
        <v>5098</v>
      </c>
      <c r="AI347" s="20">
        <v>56</v>
      </c>
      <c r="AJ347" s="20" t="s">
        <v>4853</v>
      </c>
      <c r="AK347" s="115">
        <v>400000</v>
      </c>
      <c r="AL347" s="20">
        <v>4</v>
      </c>
      <c r="AM347" s="20">
        <f t="shared" ref="AM347:AM356" si="97">AL347+AM348</f>
        <v>696</v>
      </c>
      <c r="AN347" s="20">
        <f t="shared" ref="AN347:AN356" si="98">AK347*AM347</f>
        <v>278400000</v>
      </c>
      <c r="AO347" s="20"/>
    </row>
    <row r="348" spans="8:47">
      <c r="R348" s="97" t="s">
        <v>4822</v>
      </c>
      <c r="S348" s="93">
        <v>2520000</v>
      </c>
      <c r="U348" s="19" t="s">
        <v>5467</v>
      </c>
      <c r="V348" s="19">
        <v>6197</v>
      </c>
      <c r="W348" s="115">
        <v>1984.3985499999999</v>
      </c>
      <c r="X348" s="115">
        <f t="shared" si="88"/>
        <v>12297317.81435</v>
      </c>
      <c r="Y348" s="261" t="s">
        <v>5098</v>
      </c>
      <c r="AB348" t="s">
        <v>25</v>
      </c>
      <c r="AI348" s="20">
        <v>57</v>
      </c>
      <c r="AJ348" s="20" t="s">
        <v>4862</v>
      </c>
      <c r="AK348" s="115">
        <v>2000000</v>
      </c>
      <c r="AL348" s="20">
        <v>3</v>
      </c>
      <c r="AM348" s="20">
        <f t="shared" si="97"/>
        <v>692</v>
      </c>
      <c r="AN348" s="20">
        <f t="shared" si="98"/>
        <v>1384000000</v>
      </c>
      <c r="AO348" s="20"/>
    </row>
    <row r="349" spans="8:47">
      <c r="R349" s="97" t="s">
        <v>4835</v>
      </c>
      <c r="S349" s="93">
        <v>4900000</v>
      </c>
      <c r="U349" s="19" t="s">
        <v>5468</v>
      </c>
      <c r="V349" s="19">
        <v>4646</v>
      </c>
      <c r="W349" s="115">
        <v>1928.464023</v>
      </c>
      <c r="X349" s="115">
        <f t="shared" si="88"/>
        <v>8959643.8508579992</v>
      </c>
      <c r="Y349" s="261" t="s">
        <v>5098</v>
      </c>
      <c r="AA349" t="s">
        <v>25</v>
      </c>
      <c r="AB349" t="s">
        <v>25</v>
      </c>
      <c r="AI349" s="20">
        <v>58</v>
      </c>
      <c r="AJ349" s="20" t="s">
        <v>4865</v>
      </c>
      <c r="AK349" s="115">
        <v>100000</v>
      </c>
      <c r="AL349" s="20">
        <v>4</v>
      </c>
      <c r="AM349" s="20">
        <f t="shared" si="97"/>
        <v>689</v>
      </c>
      <c r="AN349" s="20">
        <f t="shared" si="98"/>
        <v>68900000</v>
      </c>
      <c r="AO349" s="20" t="s">
        <v>3873</v>
      </c>
    </row>
    <row r="350" spans="8:47">
      <c r="R350" s="97" t="s">
        <v>4794</v>
      </c>
      <c r="S350" s="93">
        <v>1150000</v>
      </c>
      <c r="U350" s="19" t="s">
        <v>5469</v>
      </c>
      <c r="V350" s="19">
        <v>7668</v>
      </c>
      <c r="W350" s="115">
        <v>1976.2774959999999</v>
      </c>
      <c r="X350" s="115">
        <f t="shared" si="88"/>
        <v>15154095.839328</v>
      </c>
      <c r="Y350" s="261" t="s">
        <v>5098</v>
      </c>
      <c r="AI350" s="20">
        <v>59</v>
      </c>
      <c r="AJ350" s="20" t="s">
        <v>4872</v>
      </c>
      <c r="AK350" s="115">
        <v>100000</v>
      </c>
      <c r="AL350" s="20">
        <v>7</v>
      </c>
      <c r="AM350" s="20">
        <f t="shared" si="97"/>
        <v>685</v>
      </c>
      <c r="AN350" s="20">
        <f t="shared" si="98"/>
        <v>68500000</v>
      </c>
      <c r="AO350" s="20"/>
    </row>
    <row r="351" spans="8:47" ht="30">
      <c r="R351" s="97" t="s">
        <v>4869</v>
      </c>
      <c r="S351" s="93">
        <v>250000</v>
      </c>
      <c r="U351" s="19" t="s">
        <v>5476</v>
      </c>
      <c r="V351" s="19">
        <v>-43325</v>
      </c>
      <c r="W351" s="115">
        <v>2146.5548840000001</v>
      </c>
      <c r="X351" s="115">
        <f t="shared" si="88"/>
        <v>-92999490.349300012</v>
      </c>
      <c r="Y351" s="261" t="s">
        <v>5477</v>
      </c>
      <c r="Z351" t="s">
        <v>25</v>
      </c>
      <c r="AI351" s="20">
        <v>60</v>
      </c>
      <c r="AJ351" s="20" t="s">
        <v>4885</v>
      </c>
      <c r="AK351" s="115">
        <v>50000</v>
      </c>
      <c r="AL351" s="20">
        <v>0</v>
      </c>
      <c r="AM351" s="20">
        <f t="shared" si="97"/>
        <v>678</v>
      </c>
      <c r="AN351" s="20">
        <f t="shared" si="98"/>
        <v>33900000</v>
      </c>
      <c r="AO351" s="20"/>
    </row>
    <row r="352" spans="8:47">
      <c r="R352" s="97" t="s">
        <v>4872</v>
      </c>
      <c r="S352" s="93">
        <v>1403460</v>
      </c>
      <c r="T352" s="112"/>
      <c r="U352" s="19" t="s">
        <v>5484</v>
      </c>
      <c r="V352" s="19">
        <v>20888</v>
      </c>
      <c r="W352" s="115">
        <v>2428.4521530000002</v>
      </c>
      <c r="X352" s="115">
        <f t="shared" si="88"/>
        <v>50725508.571864001</v>
      </c>
      <c r="Y352" s="261" t="s">
        <v>5098</v>
      </c>
      <c r="AI352" s="147">
        <v>61</v>
      </c>
      <c r="AJ352" s="147" t="s">
        <v>4885</v>
      </c>
      <c r="AK352" s="186">
        <v>50000</v>
      </c>
      <c r="AL352" s="147">
        <v>3</v>
      </c>
      <c r="AM352" s="147">
        <f t="shared" si="97"/>
        <v>678</v>
      </c>
      <c r="AN352" s="147">
        <f t="shared" si="98"/>
        <v>33900000</v>
      </c>
      <c r="AO352" s="147"/>
    </row>
    <row r="353" spans="18:46">
      <c r="R353" s="97" t="s">
        <v>4877</v>
      </c>
      <c r="S353" s="93">
        <v>200000</v>
      </c>
      <c r="U353" s="19" t="s">
        <v>5485</v>
      </c>
      <c r="V353" s="19">
        <v>21663</v>
      </c>
      <c r="W353" s="115">
        <v>2308.0067819999999</v>
      </c>
      <c r="X353" s="115">
        <f t="shared" si="88"/>
        <v>49998350.918466002</v>
      </c>
      <c r="Y353" s="261" t="s">
        <v>5488</v>
      </c>
      <c r="Z353" t="s">
        <v>25</v>
      </c>
      <c r="AI353" s="20">
        <v>62</v>
      </c>
      <c r="AJ353" s="20" t="s">
        <v>4888</v>
      </c>
      <c r="AK353" s="115">
        <v>50000</v>
      </c>
      <c r="AL353" s="20">
        <v>0</v>
      </c>
      <c r="AM353" s="20">
        <f t="shared" si="97"/>
        <v>675</v>
      </c>
      <c r="AN353" s="20">
        <f t="shared" si="98"/>
        <v>33750000</v>
      </c>
      <c r="AO353" s="20"/>
    </row>
    <row r="354" spans="18:46">
      <c r="R354" s="97" t="s">
        <v>4882</v>
      </c>
      <c r="S354" s="93">
        <v>345000</v>
      </c>
      <c r="U354" s="19" t="s">
        <v>5485</v>
      </c>
      <c r="V354" s="19">
        <v>977</v>
      </c>
      <c r="W354" s="115">
        <v>2335.6821479999999</v>
      </c>
      <c r="X354" s="115">
        <f t="shared" si="88"/>
        <v>2281961.458596</v>
      </c>
      <c r="Y354" s="261" t="s">
        <v>5098</v>
      </c>
      <c r="AI354" s="192">
        <v>63</v>
      </c>
      <c r="AJ354" s="192" t="s">
        <v>4888</v>
      </c>
      <c r="AK354" s="193">
        <v>50000</v>
      </c>
      <c r="AL354" s="192">
        <v>2</v>
      </c>
      <c r="AM354" s="192">
        <f t="shared" si="97"/>
        <v>675</v>
      </c>
      <c r="AN354" s="192">
        <f t="shared" si="98"/>
        <v>33750000</v>
      </c>
      <c r="AO354" s="192"/>
    </row>
    <row r="355" spans="18:46">
      <c r="R355" s="97" t="s">
        <v>4885</v>
      </c>
      <c r="S355" s="93">
        <v>900000</v>
      </c>
      <c r="U355" s="19" t="s">
        <v>5492</v>
      </c>
      <c r="V355" s="19">
        <v>4155</v>
      </c>
      <c r="W355" s="115">
        <v>2647</v>
      </c>
      <c r="X355" s="115">
        <f t="shared" si="88"/>
        <v>10998285</v>
      </c>
      <c r="Y355" s="261" t="s">
        <v>5098</v>
      </c>
      <c r="AI355" s="20">
        <v>64</v>
      </c>
      <c r="AJ355" s="20" t="s">
        <v>4895</v>
      </c>
      <c r="AK355" s="115">
        <v>25000</v>
      </c>
      <c r="AL355" s="20">
        <v>0</v>
      </c>
      <c r="AM355" s="20">
        <f t="shared" si="97"/>
        <v>673</v>
      </c>
      <c r="AN355" s="20">
        <f t="shared" si="98"/>
        <v>16825000</v>
      </c>
      <c r="AO355" s="20"/>
    </row>
    <row r="356" spans="18:46">
      <c r="R356" s="97" t="s">
        <v>4893</v>
      </c>
      <c r="S356" s="93">
        <v>372517</v>
      </c>
      <c r="U356" s="19" t="s">
        <v>5493</v>
      </c>
      <c r="V356" s="19">
        <v>351</v>
      </c>
      <c r="W356" s="115">
        <v>2800.6238229999999</v>
      </c>
      <c r="X356" s="115">
        <f t="shared" si="88"/>
        <v>983018.96187300002</v>
      </c>
      <c r="Y356" s="261" t="s">
        <v>5098</v>
      </c>
      <c r="Z356" t="s">
        <v>25</v>
      </c>
      <c r="AI356" s="147">
        <v>65</v>
      </c>
      <c r="AJ356" s="147" t="s">
        <v>4895</v>
      </c>
      <c r="AK356" s="186">
        <v>35000</v>
      </c>
      <c r="AL356" s="147">
        <v>7</v>
      </c>
      <c r="AM356" s="147">
        <f t="shared" si="97"/>
        <v>673</v>
      </c>
      <c r="AN356" s="147">
        <f t="shared" si="98"/>
        <v>23555000</v>
      </c>
      <c r="AO356" s="147"/>
    </row>
    <row r="357" spans="18:46">
      <c r="R357" s="97" t="s">
        <v>4926</v>
      </c>
      <c r="S357" s="93">
        <v>6489257</v>
      </c>
      <c r="U357" s="19" t="s">
        <v>5495</v>
      </c>
      <c r="V357" s="19">
        <v>5877</v>
      </c>
      <c r="W357" s="115">
        <v>2901.0160000000001</v>
      </c>
      <c r="X357" s="115">
        <f t="shared" si="88"/>
        <v>17049271.032000002</v>
      </c>
      <c r="Y357" s="261" t="s">
        <v>5098</v>
      </c>
      <c r="Z357" t="s">
        <v>25</v>
      </c>
      <c r="AI357" s="147">
        <v>66</v>
      </c>
      <c r="AJ357" s="147" t="s">
        <v>4903</v>
      </c>
      <c r="AK357" s="186">
        <v>30000000</v>
      </c>
      <c r="AL357" s="147">
        <v>0</v>
      </c>
      <c r="AM357" s="147">
        <f t="shared" ref="AM357:AM376" si="99">AL357+AM358</f>
        <v>666</v>
      </c>
      <c r="AN357" s="147">
        <f t="shared" ref="AN357:AN376" si="100">AK357*AM357</f>
        <v>19980000000</v>
      </c>
      <c r="AO357" s="147"/>
    </row>
    <row r="358" spans="18:46" ht="18" customHeight="1">
      <c r="R358" s="97" t="s">
        <v>4937</v>
      </c>
      <c r="S358" s="93">
        <v>618000</v>
      </c>
      <c r="U358" s="19" t="s">
        <v>5498</v>
      </c>
      <c r="V358" s="19">
        <v>2374</v>
      </c>
      <c r="W358" s="115">
        <v>2877</v>
      </c>
      <c r="X358" s="115">
        <f t="shared" ref="X358:X395" si="101">V358*W358</f>
        <v>6829998</v>
      </c>
      <c r="Y358" s="261" t="s">
        <v>5098</v>
      </c>
      <c r="AI358" s="20">
        <v>67</v>
      </c>
      <c r="AJ358" s="20" t="s">
        <v>4903</v>
      </c>
      <c r="AK358" s="115">
        <v>6800000</v>
      </c>
      <c r="AL358" s="20">
        <v>1</v>
      </c>
      <c r="AM358" s="20">
        <f t="shared" si="99"/>
        <v>666</v>
      </c>
      <c r="AN358" s="20">
        <f t="shared" si="100"/>
        <v>4528800000</v>
      </c>
      <c r="AO358" s="20"/>
      <c r="AT358" t="s">
        <v>25</v>
      </c>
    </row>
    <row r="359" spans="18:46" ht="21" customHeight="1">
      <c r="R359" s="97" t="s">
        <v>4941</v>
      </c>
      <c r="S359" s="93">
        <v>20105000</v>
      </c>
      <c r="U359" s="19" t="s">
        <v>4209</v>
      </c>
      <c r="V359" s="19">
        <v>2532</v>
      </c>
      <c r="W359" s="115">
        <v>2757.7444</v>
      </c>
      <c r="X359" s="115">
        <f t="shared" si="101"/>
        <v>6982608.8207999999</v>
      </c>
      <c r="Y359" s="261" t="s">
        <v>5098</v>
      </c>
      <c r="AI359" s="20">
        <v>68</v>
      </c>
      <c r="AJ359" s="20" t="s">
        <v>4906</v>
      </c>
      <c r="AK359" s="115">
        <v>500000</v>
      </c>
      <c r="AL359" s="20">
        <v>1</v>
      </c>
      <c r="AM359" s="20">
        <f t="shared" si="99"/>
        <v>665</v>
      </c>
      <c r="AN359" s="20">
        <f t="shared" si="100"/>
        <v>332500000</v>
      </c>
      <c r="AO359" s="20"/>
    </row>
    <row r="360" spans="18:46">
      <c r="R360" s="97" t="s">
        <v>4942</v>
      </c>
      <c r="S360" s="93">
        <v>-21079990</v>
      </c>
      <c r="U360" s="19" t="s">
        <v>4209</v>
      </c>
      <c r="V360" s="19">
        <v>4987</v>
      </c>
      <c r="W360" s="115">
        <v>2757.7444</v>
      </c>
      <c r="X360" s="115">
        <f t="shared" si="101"/>
        <v>13752871.322800001</v>
      </c>
      <c r="Y360" s="261" t="s">
        <v>5513</v>
      </c>
      <c r="Z360" t="s">
        <v>25</v>
      </c>
      <c r="AI360" s="20">
        <v>69</v>
      </c>
      <c r="AJ360" s="20" t="s">
        <v>4910</v>
      </c>
      <c r="AK360" s="115">
        <v>850000</v>
      </c>
      <c r="AL360" s="20">
        <v>5</v>
      </c>
      <c r="AM360" s="20">
        <f t="shared" si="99"/>
        <v>664</v>
      </c>
      <c r="AN360" s="20">
        <f t="shared" si="100"/>
        <v>564400000</v>
      </c>
      <c r="AO360" s="20"/>
    </row>
    <row r="361" spans="18:46">
      <c r="R361" s="97" t="s">
        <v>4948</v>
      </c>
      <c r="S361" s="93">
        <v>-5949277</v>
      </c>
      <c r="T361" t="s">
        <v>25</v>
      </c>
      <c r="U361" s="19" t="s">
        <v>4209</v>
      </c>
      <c r="V361" s="19">
        <v>997</v>
      </c>
      <c r="W361" s="115">
        <v>2757.7444</v>
      </c>
      <c r="X361" s="115">
        <f t="shared" si="101"/>
        <v>2749471.1668000002</v>
      </c>
      <c r="Y361" s="261" t="s">
        <v>5514</v>
      </c>
      <c r="AI361" s="20">
        <v>70</v>
      </c>
      <c r="AJ361" s="20" t="s">
        <v>4918</v>
      </c>
      <c r="AK361" s="115">
        <v>1130250</v>
      </c>
      <c r="AL361" s="20">
        <v>0</v>
      </c>
      <c r="AM361" s="20">
        <f t="shared" si="99"/>
        <v>659</v>
      </c>
      <c r="AN361" s="20">
        <f t="shared" si="100"/>
        <v>744834750</v>
      </c>
      <c r="AO361" s="20"/>
    </row>
    <row r="362" spans="18:46" ht="18.75" customHeight="1">
      <c r="R362" s="97" t="s">
        <v>4954</v>
      </c>
      <c r="S362" s="93">
        <v>-15370656</v>
      </c>
      <c r="U362" s="19" t="s">
        <v>5518</v>
      </c>
      <c r="V362" s="19">
        <v>2874</v>
      </c>
      <c r="W362" s="115">
        <v>2613.1284000000001</v>
      </c>
      <c r="X362" s="115">
        <f t="shared" si="101"/>
        <v>7510131.0216000006</v>
      </c>
      <c r="Y362" s="261" t="s">
        <v>5098</v>
      </c>
      <c r="AI362" s="240">
        <v>71</v>
      </c>
      <c r="AJ362" s="240" t="s">
        <v>4918</v>
      </c>
      <c r="AK362" s="231">
        <v>30000</v>
      </c>
      <c r="AL362" s="240">
        <v>5</v>
      </c>
      <c r="AM362" s="240">
        <f t="shared" si="99"/>
        <v>659</v>
      </c>
      <c r="AN362" s="240">
        <f t="shared" si="100"/>
        <v>19770000</v>
      </c>
      <c r="AO362" s="240"/>
    </row>
    <row r="363" spans="18:46">
      <c r="R363" s="97" t="s">
        <v>4954</v>
      </c>
      <c r="S363" s="93">
        <v>4960000</v>
      </c>
      <c r="U363" s="19" t="s">
        <v>5524</v>
      </c>
      <c r="V363" s="19">
        <v>2847</v>
      </c>
      <c r="W363" s="115">
        <v>2556.3841000000002</v>
      </c>
      <c r="X363" s="115">
        <f t="shared" si="101"/>
        <v>7278025.5327000003</v>
      </c>
      <c r="Y363" s="261" t="s">
        <v>5098</v>
      </c>
      <c r="AI363" s="20">
        <v>72</v>
      </c>
      <c r="AJ363" s="20" t="s">
        <v>4926</v>
      </c>
      <c r="AK363" s="115">
        <v>206000</v>
      </c>
      <c r="AL363" s="20">
        <v>0</v>
      </c>
      <c r="AM363" s="20">
        <f t="shared" si="99"/>
        <v>654</v>
      </c>
      <c r="AN363" s="20">
        <f t="shared" si="100"/>
        <v>134724000</v>
      </c>
      <c r="AO363" s="20"/>
    </row>
    <row r="364" spans="18:46">
      <c r="R364" s="97" t="s">
        <v>4961</v>
      </c>
      <c r="S364" s="93">
        <v>10000000</v>
      </c>
      <c r="U364" s="19" t="s">
        <v>5524</v>
      </c>
      <c r="V364" s="19">
        <v>1222</v>
      </c>
      <c r="W364" s="115">
        <v>2556.3841000000002</v>
      </c>
      <c r="X364" s="115">
        <f t="shared" si="101"/>
        <v>3123901.3702000002</v>
      </c>
      <c r="Y364" s="261" t="s">
        <v>5525</v>
      </c>
      <c r="AI364" s="147">
        <v>73</v>
      </c>
      <c r="AJ364" s="147" t="s">
        <v>4926</v>
      </c>
      <c r="AK364" s="186">
        <v>206000</v>
      </c>
      <c r="AL364" s="147">
        <v>2</v>
      </c>
      <c r="AM364" s="147">
        <f t="shared" si="99"/>
        <v>654</v>
      </c>
      <c r="AN364" s="147">
        <f t="shared" si="100"/>
        <v>134724000</v>
      </c>
      <c r="AO364" s="147"/>
    </row>
    <row r="365" spans="18:46">
      <c r="R365" s="97" t="s">
        <v>4970</v>
      </c>
      <c r="S365" s="93">
        <v>-40570100</v>
      </c>
      <c r="U365" s="19" t="s">
        <v>5533</v>
      </c>
      <c r="V365" s="19">
        <v>73</v>
      </c>
      <c r="W365" s="115">
        <v>2672.0459999999998</v>
      </c>
      <c r="X365" s="115">
        <f t="shared" si="101"/>
        <v>195059.35799999998</v>
      </c>
      <c r="Y365" s="261" t="s">
        <v>5098</v>
      </c>
      <c r="AI365" s="20">
        <v>74</v>
      </c>
      <c r="AJ365" s="20" t="s">
        <v>4933</v>
      </c>
      <c r="AK365" s="115">
        <v>50000</v>
      </c>
      <c r="AL365" s="20">
        <v>0</v>
      </c>
      <c r="AM365" s="20">
        <f t="shared" si="99"/>
        <v>652</v>
      </c>
      <c r="AN365" s="20">
        <f t="shared" si="100"/>
        <v>32600000</v>
      </c>
      <c r="AO365" s="20"/>
    </row>
    <row r="366" spans="18:46" ht="30">
      <c r="R366" s="97" t="s">
        <v>4971</v>
      </c>
      <c r="S366" s="93">
        <v>1000000</v>
      </c>
      <c r="U366" s="19" t="s">
        <v>5538</v>
      </c>
      <c r="V366" s="19">
        <v>332</v>
      </c>
      <c r="W366" s="115">
        <v>2598.1260000000002</v>
      </c>
      <c r="X366" s="115">
        <f t="shared" si="101"/>
        <v>862577.83200000005</v>
      </c>
      <c r="Y366" s="261" t="s">
        <v>5539</v>
      </c>
      <c r="Z366" t="s">
        <v>25</v>
      </c>
      <c r="AA366" t="s">
        <v>25</v>
      </c>
      <c r="AI366" s="240">
        <v>75</v>
      </c>
      <c r="AJ366" s="240" t="s">
        <v>4933</v>
      </c>
      <c r="AK366" s="231">
        <v>50000</v>
      </c>
      <c r="AL366" s="240">
        <v>2</v>
      </c>
      <c r="AM366" s="240">
        <f t="shared" si="99"/>
        <v>652</v>
      </c>
      <c r="AN366" s="240">
        <f t="shared" si="100"/>
        <v>32600000</v>
      </c>
      <c r="AO366" s="240"/>
    </row>
    <row r="367" spans="18:46">
      <c r="R367" s="97" t="s">
        <v>4978</v>
      </c>
      <c r="S367" s="93">
        <v>400000</v>
      </c>
      <c r="U367" s="19" t="s">
        <v>5540</v>
      </c>
      <c r="V367" s="19">
        <v>346</v>
      </c>
      <c r="W367" s="115">
        <v>2659.8510000000001</v>
      </c>
      <c r="X367" s="115">
        <f t="shared" si="101"/>
        <v>920308.446</v>
      </c>
      <c r="Y367" s="261" t="s">
        <v>5098</v>
      </c>
      <c r="AI367" s="20">
        <v>76</v>
      </c>
      <c r="AJ367" s="20" t="s">
        <v>4937</v>
      </c>
      <c r="AK367" s="115">
        <v>20000000</v>
      </c>
      <c r="AL367" s="20">
        <v>7</v>
      </c>
      <c r="AM367" s="20">
        <f t="shared" si="99"/>
        <v>650</v>
      </c>
      <c r="AN367" s="20">
        <f t="shared" si="100"/>
        <v>13000000000</v>
      </c>
      <c r="AO367" s="20" t="s">
        <v>4938</v>
      </c>
    </row>
    <row r="368" spans="18:46">
      <c r="R368" s="97" t="s">
        <v>4992</v>
      </c>
      <c r="S368" s="93">
        <v>120000</v>
      </c>
      <c r="U368" s="19" t="s">
        <v>5541</v>
      </c>
      <c r="V368" s="19">
        <v>1722</v>
      </c>
      <c r="W368" s="115">
        <v>2692.1079220000001</v>
      </c>
      <c r="X368" s="115">
        <f t="shared" si="101"/>
        <v>4635809.8416840006</v>
      </c>
      <c r="Y368" s="261" t="s">
        <v>5098</v>
      </c>
      <c r="Z368" t="s">
        <v>25</v>
      </c>
      <c r="AC368" t="s">
        <v>25</v>
      </c>
      <c r="AI368" s="20">
        <v>77</v>
      </c>
      <c r="AJ368" s="20" t="s">
        <v>4948</v>
      </c>
      <c r="AK368" s="115">
        <v>50000</v>
      </c>
      <c r="AL368" s="20">
        <v>0</v>
      </c>
      <c r="AM368" s="20">
        <f t="shared" si="99"/>
        <v>643</v>
      </c>
      <c r="AN368" s="20">
        <f t="shared" si="100"/>
        <v>32150000</v>
      </c>
      <c r="AO368" s="20"/>
    </row>
    <row r="369" spans="18:46">
      <c r="R369" s="97" t="s">
        <v>4983</v>
      </c>
      <c r="S369" s="93">
        <v>500000</v>
      </c>
      <c r="U369" s="19" t="s">
        <v>5543</v>
      </c>
      <c r="V369" s="19">
        <v>106</v>
      </c>
      <c r="W369" s="115">
        <v>2725.4</v>
      </c>
      <c r="X369" s="115">
        <f t="shared" si="101"/>
        <v>288892.40000000002</v>
      </c>
      <c r="Y369" s="261" t="s">
        <v>452</v>
      </c>
      <c r="Z369" t="s">
        <v>25</v>
      </c>
      <c r="AA369" t="s">
        <v>25</v>
      </c>
      <c r="AI369" s="147">
        <v>78</v>
      </c>
      <c r="AJ369" s="147" t="s">
        <v>4948</v>
      </c>
      <c r="AK369" s="186">
        <v>50000</v>
      </c>
      <c r="AL369" s="147">
        <v>7</v>
      </c>
      <c r="AM369" s="147">
        <f t="shared" si="99"/>
        <v>643</v>
      </c>
      <c r="AN369" s="147">
        <f t="shared" si="100"/>
        <v>32150000</v>
      </c>
      <c r="AO369" s="147"/>
    </row>
    <row r="370" spans="18:46">
      <c r="R370" s="97" t="s">
        <v>5008</v>
      </c>
      <c r="S370" s="93">
        <v>744000</v>
      </c>
      <c r="U370" s="19" t="s">
        <v>5570</v>
      </c>
      <c r="V370" s="19">
        <v>25901</v>
      </c>
      <c r="W370" s="115">
        <v>2258.9090000000001</v>
      </c>
      <c r="X370" s="115">
        <f t="shared" si="101"/>
        <v>58508002.009000003</v>
      </c>
      <c r="Y370" s="261" t="s">
        <v>5098</v>
      </c>
      <c r="AI370" s="20">
        <v>79</v>
      </c>
      <c r="AJ370" s="20" t="s">
        <v>4954</v>
      </c>
      <c r="AK370" s="115">
        <v>2480000</v>
      </c>
      <c r="AL370" s="20">
        <v>0</v>
      </c>
      <c r="AM370" s="20">
        <f t="shared" si="99"/>
        <v>636</v>
      </c>
      <c r="AN370" s="20">
        <f t="shared" si="100"/>
        <v>1577280000</v>
      </c>
      <c r="AO370" s="20"/>
    </row>
    <row r="371" spans="18:46">
      <c r="R371" s="97" t="s">
        <v>5013</v>
      </c>
      <c r="S371" s="93">
        <v>65000</v>
      </c>
      <c r="U371" s="19" t="s">
        <v>5572</v>
      </c>
      <c r="V371" s="19">
        <v>951</v>
      </c>
      <c r="W371" s="115">
        <v>2361.2150799999999</v>
      </c>
      <c r="X371" s="115">
        <f t="shared" si="101"/>
        <v>2245515.5410799999</v>
      </c>
      <c r="Y371" s="261" t="s">
        <v>5098</v>
      </c>
      <c r="AI371" s="147">
        <v>80</v>
      </c>
      <c r="AJ371" s="147" t="s">
        <v>4954</v>
      </c>
      <c r="AK371" s="186">
        <v>2480000</v>
      </c>
      <c r="AL371" s="147">
        <v>12</v>
      </c>
      <c r="AM371" s="147">
        <f t="shared" si="99"/>
        <v>636</v>
      </c>
      <c r="AN371" s="147">
        <f t="shared" si="100"/>
        <v>1577280000</v>
      </c>
      <c r="AO371" s="147"/>
    </row>
    <row r="372" spans="18:46">
      <c r="R372" s="97" t="s">
        <v>4984</v>
      </c>
      <c r="S372" s="93">
        <v>-14053702</v>
      </c>
      <c r="U372" s="19" t="s">
        <v>5574</v>
      </c>
      <c r="V372" s="19">
        <v>7622</v>
      </c>
      <c r="W372" s="115">
        <v>2414.6810999999998</v>
      </c>
      <c r="X372" s="115">
        <f t="shared" si="101"/>
        <v>18404699.3442</v>
      </c>
      <c r="Y372" s="261" t="s">
        <v>5098</v>
      </c>
      <c r="AI372" s="20">
        <v>81</v>
      </c>
      <c r="AJ372" s="20" t="s">
        <v>4961</v>
      </c>
      <c r="AK372" s="115">
        <v>-24159500</v>
      </c>
      <c r="AL372" s="20">
        <v>4</v>
      </c>
      <c r="AM372" s="20">
        <f t="shared" si="99"/>
        <v>624</v>
      </c>
      <c r="AN372" s="20">
        <f t="shared" si="100"/>
        <v>-15075528000</v>
      </c>
      <c r="AO372" s="20" t="s">
        <v>4969</v>
      </c>
      <c r="AS372" t="s">
        <v>25</v>
      </c>
    </row>
    <row r="373" spans="18:46">
      <c r="R373" s="97" t="s">
        <v>5049</v>
      </c>
      <c r="S373" s="93">
        <v>3555678</v>
      </c>
      <c r="U373" s="19" t="s">
        <v>5574</v>
      </c>
      <c r="V373" s="19">
        <v>-282</v>
      </c>
      <c r="W373" s="115">
        <v>2414.6810999999998</v>
      </c>
      <c r="X373" s="115">
        <f t="shared" si="101"/>
        <v>-680940.07019999996</v>
      </c>
      <c r="Y373" s="261" t="s">
        <v>5575</v>
      </c>
      <c r="AI373" s="20">
        <v>82</v>
      </c>
      <c r="AJ373" s="20" t="s">
        <v>4971</v>
      </c>
      <c r="AK373" s="115">
        <v>400000</v>
      </c>
      <c r="AL373" s="20">
        <v>3</v>
      </c>
      <c r="AM373" s="20">
        <f t="shared" si="99"/>
        <v>620</v>
      </c>
      <c r="AN373" s="20">
        <f t="shared" si="100"/>
        <v>248000000</v>
      </c>
      <c r="AO373" s="20"/>
    </row>
    <row r="374" spans="18:46">
      <c r="R374" s="97" t="s">
        <v>5053</v>
      </c>
      <c r="S374" s="93">
        <v>3495</v>
      </c>
      <c r="U374" s="19" t="s">
        <v>5574</v>
      </c>
      <c r="V374" s="19">
        <v>20162</v>
      </c>
      <c r="W374" s="115">
        <v>2414.6810999999998</v>
      </c>
      <c r="X374" s="115">
        <f t="shared" si="101"/>
        <v>48684800.338199995</v>
      </c>
      <c r="Y374" s="261" t="s">
        <v>5576</v>
      </c>
      <c r="AI374" s="147">
        <v>83</v>
      </c>
      <c r="AJ374" s="147" t="s">
        <v>4978</v>
      </c>
      <c r="AK374" s="186">
        <v>40000</v>
      </c>
      <c r="AL374" s="147">
        <v>0</v>
      </c>
      <c r="AM374" s="147">
        <f t="shared" si="99"/>
        <v>617</v>
      </c>
      <c r="AN374" s="147">
        <f t="shared" si="100"/>
        <v>24680000</v>
      </c>
      <c r="AO374" s="147"/>
      <c r="AT374" t="s">
        <v>25</v>
      </c>
    </row>
    <row r="375" spans="18:46">
      <c r="R375" s="97" t="s">
        <v>5055</v>
      </c>
      <c r="S375" s="93">
        <v>6000000</v>
      </c>
      <c r="U375" s="19" t="s">
        <v>5574</v>
      </c>
      <c r="V375" s="19">
        <v>-20162</v>
      </c>
      <c r="W375" s="115">
        <v>2414.6810999999998</v>
      </c>
      <c r="X375" s="115">
        <f t="shared" si="101"/>
        <v>-48684800.338199995</v>
      </c>
      <c r="Y375" s="261" t="s">
        <v>743</v>
      </c>
      <c r="AI375" s="20">
        <v>84</v>
      </c>
      <c r="AJ375" s="20" t="s">
        <v>4978</v>
      </c>
      <c r="AK375" s="115">
        <v>40000</v>
      </c>
      <c r="AL375" s="20">
        <v>5</v>
      </c>
      <c r="AM375" s="20">
        <f t="shared" si="99"/>
        <v>617</v>
      </c>
      <c r="AN375" s="20">
        <f t="shared" si="100"/>
        <v>24680000</v>
      </c>
      <c r="AO375" s="20"/>
    </row>
    <row r="376" spans="18:46">
      <c r="R376" s="97" t="s">
        <v>5056</v>
      </c>
      <c r="S376" s="93">
        <v>17220</v>
      </c>
      <c r="U376" s="19" t="s">
        <v>5577</v>
      </c>
      <c r="V376" s="19">
        <v>977</v>
      </c>
      <c r="W376" s="115">
        <v>2317.971947</v>
      </c>
      <c r="X376" s="115">
        <f t="shared" si="101"/>
        <v>2264658.5922190002</v>
      </c>
      <c r="Y376" s="261" t="s">
        <v>5098</v>
      </c>
      <c r="AI376" s="20">
        <v>85</v>
      </c>
      <c r="AJ376" s="20" t="s">
        <v>4986</v>
      </c>
      <c r="AK376" s="115">
        <v>200000</v>
      </c>
      <c r="AL376" s="20">
        <v>1</v>
      </c>
      <c r="AM376" s="20">
        <f t="shared" si="99"/>
        <v>612</v>
      </c>
      <c r="AN376" s="20">
        <f t="shared" si="100"/>
        <v>122400000</v>
      </c>
      <c r="AO376" s="20"/>
    </row>
    <row r="377" spans="18:46">
      <c r="R377" s="97" t="s">
        <v>5058</v>
      </c>
      <c r="S377" s="93">
        <v>8249</v>
      </c>
      <c r="T377" t="s">
        <v>25</v>
      </c>
      <c r="U377" s="19" t="s">
        <v>5579</v>
      </c>
      <c r="V377" s="19">
        <v>10280</v>
      </c>
      <c r="W377" s="115">
        <v>2225.429357</v>
      </c>
      <c r="X377" s="115">
        <f t="shared" si="101"/>
        <v>22877413.789960001</v>
      </c>
      <c r="Y377" s="261" t="s">
        <v>5098</v>
      </c>
      <c r="AI377" s="20">
        <v>86</v>
      </c>
      <c r="AJ377" s="20" t="s">
        <v>4990</v>
      </c>
      <c r="AK377" s="115">
        <v>500000</v>
      </c>
      <c r="AL377" s="20">
        <v>2</v>
      </c>
      <c r="AM377" s="20">
        <f t="shared" ref="AM377:AM406" si="102">AL377+AM378</f>
        <v>611</v>
      </c>
      <c r="AN377" s="20">
        <f t="shared" ref="AN377:AN406" si="103">AK377*AM377</f>
        <v>305500000</v>
      </c>
      <c r="AO377" s="20"/>
      <c r="AS377" t="s">
        <v>25</v>
      </c>
    </row>
    <row r="378" spans="18:46">
      <c r="R378" s="97" t="s">
        <v>5058</v>
      </c>
      <c r="S378" s="93">
        <v>6937</v>
      </c>
      <c r="U378" s="19" t="s">
        <v>5582</v>
      </c>
      <c r="V378" s="19">
        <v>1022</v>
      </c>
      <c r="W378" s="115">
        <v>2311.6824240000001</v>
      </c>
      <c r="X378" s="115">
        <f t="shared" si="101"/>
        <v>2362539.4373280001</v>
      </c>
      <c r="Y378" s="261" t="s">
        <v>5098</v>
      </c>
      <c r="AI378" s="20">
        <v>87</v>
      </c>
      <c r="AJ378" s="20" t="s">
        <v>4992</v>
      </c>
      <c r="AK378" s="115">
        <v>500000</v>
      </c>
      <c r="AL378" s="20">
        <v>3</v>
      </c>
      <c r="AM378" s="20">
        <f t="shared" si="102"/>
        <v>609</v>
      </c>
      <c r="AN378" s="20">
        <f t="shared" si="103"/>
        <v>304500000</v>
      </c>
      <c r="AO378" s="20"/>
    </row>
    <row r="379" spans="18:46">
      <c r="R379" s="97" t="s">
        <v>5061</v>
      </c>
      <c r="S379" s="93">
        <v>4046552</v>
      </c>
      <c r="U379" s="19" t="s">
        <v>5583</v>
      </c>
      <c r="V379" s="19">
        <v>6818</v>
      </c>
      <c r="W379" s="115">
        <v>2352.988656</v>
      </c>
      <c r="X379" s="115">
        <f t="shared" si="101"/>
        <v>16042676.656608</v>
      </c>
      <c r="Y379" s="261" t="s">
        <v>5098</v>
      </c>
      <c r="AI379" s="20">
        <v>88</v>
      </c>
      <c r="AJ379" s="20" t="s">
        <v>4983</v>
      </c>
      <c r="AK379" s="115">
        <v>250000</v>
      </c>
      <c r="AL379" s="20">
        <v>0</v>
      </c>
      <c r="AM379" s="20">
        <f t="shared" si="102"/>
        <v>606</v>
      </c>
      <c r="AN379" s="20">
        <f t="shared" si="103"/>
        <v>151500000</v>
      </c>
      <c r="AO379" s="20"/>
    </row>
    <row r="380" spans="18:46">
      <c r="R380" s="97" t="s">
        <v>5068</v>
      </c>
      <c r="S380" s="93">
        <v>-3884943</v>
      </c>
      <c r="U380" s="19" t="s">
        <v>5584</v>
      </c>
      <c r="V380" s="19">
        <v>8023</v>
      </c>
      <c r="W380" s="115">
        <v>2293.8167079999998</v>
      </c>
      <c r="X380" s="115">
        <f t="shared" si="101"/>
        <v>18403291.448284</v>
      </c>
      <c r="Y380" s="261" t="s">
        <v>5098</v>
      </c>
      <c r="AI380" s="240">
        <v>89</v>
      </c>
      <c r="AJ380" s="240" t="s">
        <v>4983</v>
      </c>
      <c r="AK380" s="231">
        <v>245000</v>
      </c>
      <c r="AL380" s="240">
        <v>16</v>
      </c>
      <c r="AM380" s="240">
        <f t="shared" si="102"/>
        <v>606</v>
      </c>
      <c r="AN380" s="240">
        <f t="shared" si="103"/>
        <v>148470000</v>
      </c>
      <c r="AO380" s="240"/>
    </row>
    <row r="381" spans="18:46">
      <c r="R381" s="97" t="s">
        <v>5094</v>
      </c>
      <c r="S381" s="93">
        <v>6022</v>
      </c>
      <c r="U381" s="19" t="s">
        <v>5587</v>
      </c>
      <c r="V381" s="19">
        <v>4666</v>
      </c>
      <c r="W381" s="115">
        <v>2263.4906230000001</v>
      </c>
      <c r="X381" s="115">
        <f t="shared" si="101"/>
        <v>10561447.246918</v>
      </c>
      <c r="Y381" s="261" t="s">
        <v>5098</v>
      </c>
      <c r="AI381" s="20">
        <v>90</v>
      </c>
      <c r="AJ381" s="20" t="s">
        <v>5017</v>
      </c>
      <c r="AK381" s="115">
        <v>312598</v>
      </c>
      <c r="AL381" s="20">
        <v>0</v>
      </c>
      <c r="AM381" s="20">
        <f t="shared" si="102"/>
        <v>590</v>
      </c>
      <c r="AN381" s="20">
        <f t="shared" si="103"/>
        <v>184432820</v>
      </c>
      <c r="AO381" s="20"/>
      <c r="AQ381" t="s">
        <v>25</v>
      </c>
    </row>
    <row r="382" spans="18:46">
      <c r="R382" s="97" t="s">
        <v>5097</v>
      </c>
      <c r="S382" s="93">
        <v>400000</v>
      </c>
      <c r="U382" s="19" t="s">
        <v>5588</v>
      </c>
      <c r="V382" s="19">
        <v>542</v>
      </c>
      <c r="W382" s="115">
        <v>2263.4906230000001</v>
      </c>
      <c r="X382" s="115">
        <f t="shared" si="101"/>
        <v>1226811.9176660001</v>
      </c>
      <c r="Y382" s="261" t="s">
        <v>5098</v>
      </c>
      <c r="AI382" s="20">
        <v>91</v>
      </c>
      <c r="AJ382" s="20" t="s">
        <v>5017</v>
      </c>
      <c r="AK382" s="115">
        <v>780000</v>
      </c>
      <c r="AL382" s="20">
        <v>0</v>
      </c>
      <c r="AM382" s="20">
        <f t="shared" si="102"/>
        <v>590</v>
      </c>
      <c r="AN382" s="20">
        <f t="shared" si="103"/>
        <v>460200000</v>
      </c>
      <c r="AO382" s="20"/>
    </row>
    <row r="383" spans="18:46">
      <c r="R383" s="97" t="s">
        <v>5097</v>
      </c>
      <c r="S383" s="93">
        <v>92847</v>
      </c>
      <c r="U383" s="19" t="s">
        <v>5589</v>
      </c>
      <c r="V383" s="19">
        <v>16629</v>
      </c>
      <c r="W383" s="115">
        <v>2367.7887540000002</v>
      </c>
      <c r="X383" s="115">
        <f t="shared" si="101"/>
        <v>39373959.190266006</v>
      </c>
      <c r="Y383" s="261" t="s">
        <v>5098</v>
      </c>
      <c r="AI383" s="192">
        <v>92</v>
      </c>
      <c r="AJ383" s="192" t="s">
        <v>5017</v>
      </c>
      <c r="AK383" s="193">
        <v>-300000</v>
      </c>
      <c r="AL383" s="192">
        <v>1</v>
      </c>
      <c r="AM383" s="192">
        <f t="shared" si="102"/>
        <v>590</v>
      </c>
      <c r="AN383" s="192">
        <f t="shared" si="103"/>
        <v>-177000000</v>
      </c>
      <c r="AO383" s="192"/>
    </row>
    <row r="384" spans="18:46">
      <c r="R384" s="97" t="s">
        <v>5101</v>
      </c>
      <c r="S384" s="93">
        <v>-100000</v>
      </c>
      <c r="U384" s="19" t="s">
        <v>5594</v>
      </c>
      <c r="V384" s="19">
        <v>11765</v>
      </c>
      <c r="W384" s="115">
        <v>2354.7375320000001</v>
      </c>
      <c r="X384" s="115">
        <f t="shared" si="101"/>
        <v>27703487.063980002</v>
      </c>
      <c r="Y384" s="261" t="s">
        <v>5098</v>
      </c>
      <c r="AI384" s="20">
        <v>93</v>
      </c>
      <c r="AJ384" s="20" t="s">
        <v>4984</v>
      </c>
      <c r="AK384" s="115">
        <v>300000</v>
      </c>
      <c r="AL384" s="20">
        <v>0</v>
      </c>
      <c r="AM384" s="20">
        <f t="shared" si="102"/>
        <v>589</v>
      </c>
      <c r="AN384" s="20">
        <f t="shared" si="103"/>
        <v>176700000</v>
      </c>
      <c r="AO384" s="20"/>
    </row>
    <row r="385" spans="16:46">
      <c r="R385" s="97" t="s">
        <v>5106</v>
      </c>
      <c r="S385" s="93">
        <v>10000000</v>
      </c>
      <c r="U385" s="19" t="s">
        <v>5595</v>
      </c>
      <c r="V385" s="19">
        <v>3672</v>
      </c>
      <c r="W385" s="115">
        <v>2379.873826</v>
      </c>
      <c r="X385" s="115">
        <f t="shared" si="101"/>
        <v>8738896.6890719999</v>
      </c>
      <c r="Y385" s="261" t="s">
        <v>5098</v>
      </c>
      <c r="AA385" t="s">
        <v>25</v>
      </c>
      <c r="AI385" s="20">
        <v>94</v>
      </c>
      <c r="AJ385" s="20" t="s">
        <v>4984</v>
      </c>
      <c r="AK385" s="115">
        <v>8660000</v>
      </c>
      <c r="AL385" s="20">
        <v>8</v>
      </c>
      <c r="AM385" s="20">
        <f t="shared" si="102"/>
        <v>589</v>
      </c>
      <c r="AN385" s="20">
        <f t="shared" si="103"/>
        <v>5100740000</v>
      </c>
      <c r="AO385" s="20"/>
    </row>
    <row r="386" spans="16:46">
      <c r="R386" s="97" t="s">
        <v>5110</v>
      </c>
      <c r="S386" s="93">
        <v>-400000</v>
      </c>
      <c r="U386" s="19" t="s">
        <v>4182</v>
      </c>
      <c r="V386" s="19">
        <v>140</v>
      </c>
      <c r="W386" s="115">
        <v>2487.154767</v>
      </c>
      <c r="X386" s="115">
        <f t="shared" si="101"/>
        <v>348201.66738</v>
      </c>
      <c r="Y386" s="261" t="s">
        <v>5098</v>
      </c>
      <c r="AI386" s="147">
        <v>95</v>
      </c>
      <c r="AJ386" s="147" t="s">
        <v>5034</v>
      </c>
      <c r="AK386" s="186">
        <v>200000</v>
      </c>
      <c r="AL386" s="147">
        <v>3</v>
      </c>
      <c r="AM386" s="147">
        <f t="shared" si="102"/>
        <v>581</v>
      </c>
      <c r="AN386" s="147">
        <f t="shared" si="103"/>
        <v>116200000</v>
      </c>
      <c r="AO386" s="147"/>
      <c r="AR386" t="s">
        <v>25</v>
      </c>
    </row>
    <row r="387" spans="16:46">
      <c r="R387" s="97" t="s">
        <v>5112</v>
      </c>
      <c r="S387" s="93">
        <v>5649</v>
      </c>
      <c r="U387" s="19" t="s">
        <v>5597</v>
      </c>
      <c r="V387" s="19">
        <v>1616</v>
      </c>
      <c r="W387" s="115">
        <v>2573.0760479999999</v>
      </c>
      <c r="X387" s="115">
        <f t="shared" si="101"/>
        <v>4158090.8935679998</v>
      </c>
      <c r="Y387" s="261" t="s">
        <v>5098</v>
      </c>
      <c r="AG387" s="94" t="s">
        <v>25</v>
      </c>
      <c r="AI387" s="147">
        <v>96</v>
      </c>
      <c r="AJ387" s="147" t="s">
        <v>5037</v>
      </c>
      <c r="AK387" s="186">
        <v>20000</v>
      </c>
      <c r="AL387" s="147">
        <v>1</v>
      </c>
      <c r="AM387" s="147">
        <f t="shared" si="102"/>
        <v>578</v>
      </c>
      <c r="AN387" s="147">
        <f t="shared" si="103"/>
        <v>11560000</v>
      </c>
      <c r="AO387" s="147"/>
    </row>
    <row r="388" spans="16:46">
      <c r="R388" s="97" t="s">
        <v>5113</v>
      </c>
      <c r="S388" s="93">
        <v>460000</v>
      </c>
      <c r="U388" s="187" t="s">
        <v>5598</v>
      </c>
      <c r="V388" s="187">
        <v>5682</v>
      </c>
      <c r="W388" s="186">
        <v>2639.970566</v>
      </c>
      <c r="X388" s="186">
        <f t="shared" si="101"/>
        <v>15000312.756012</v>
      </c>
      <c r="Y388" s="260" t="s">
        <v>5817</v>
      </c>
      <c r="AI388" s="20">
        <v>97</v>
      </c>
      <c r="AJ388" s="20" t="s">
        <v>5047</v>
      </c>
      <c r="AK388" s="115">
        <v>14340000</v>
      </c>
      <c r="AL388" s="20">
        <v>7</v>
      </c>
      <c r="AM388" s="20">
        <f t="shared" si="102"/>
        <v>577</v>
      </c>
      <c r="AN388" s="20">
        <f t="shared" si="103"/>
        <v>8274180000</v>
      </c>
      <c r="AO388" s="20"/>
      <c r="AT388" t="s">
        <v>25</v>
      </c>
    </row>
    <row r="389" spans="16:46" ht="30">
      <c r="R389" s="97" t="s">
        <v>5113</v>
      </c>
      <c r="S389" s="93">
        <v>1300000</v>
      </c>
      <c r="U389" s="187" t="s">
        <v>5598</v>
      </c>
      <c r="V389" s="187">
        <v>-122</v>
      </c>
      <c r="W389" s="186">
        <v>2639.970566</v>
      </c>
      <c r="X389" s="186">
        <f t="shared" si="101"/>
        <v>-322076.40905199997</v>
      </c>
      <c r="Y389" s="260" t="s">
        <v>5853</v>
      </c>
      <c r="Z389" t="s">
        <v>25</v>
      </c>
      <c r="AI389" s="20">
        <v>98</v>
      </c>
      <c r="AJ389" s="20" t="s">
        <v>5053</v>
      </c>
      <c r="AK389" s="115">
        <v>10000000</v>
      </c>
      <c r="AL389" s="20">
        <v>6</v>
      </c>
      <c r="AM389" s="20">
        <f t="shared" si="102"/>
        <v>570</v>
      </c>
      <c r="AN389" s="20">
        <f t="shared" si="103"/>
        <v>5700000000</v>
      </c>
      <c r="AO389" s="20" t="s">
        <v>4670</v>
      </c>
    </row>
    <row r="390" spans="16:46">
      <c r="R390" s="97" t="s">
        <v>975</v>
      </c>
      <c r="S390" s="93">
        <v>7300000</v>
      </c>
      <c r="U390" s="19" t="s">
        <v>5598</v>
      </c>
      <c r="V390" s="19">
        <v>2272</v>
      </c>
      <c r="W390" s="115">
        <v>2639.970566</v>
      </c>
      <c r="X390" s="115">
        <f t="shared" si="101"/>
        <v>5998013.1259519998</v>
      </c>
      <c r="Y390" s="261" t="s">
        <v>5607</v>
      </c>
      <c r="AI390" s="20">
        <v>99</v>
      </c>
      <c r="AJ390" s="20" t="s">
        <v>5058</v>
      </c>
      <c r="AK390" s="115">
        <v>4033949</v>
      </c>
      <c r="AL390" s="20">
        <v>2</v>
      </c>
      <c r="AM390" s="20">
        <f t="shared" si="102"/>
        <v>564</v>
      </c>
      <c r="AN390" s="20">
        <f t="shared" si="103"/>
        <v>2275147236</v>
      </c>
      <c r="AO390" s="20" t="s">
        <v>5060</v>
      </c>
    </row>
    <row r="391" spans="16:46" ht="30">
      <c r="R391" s="97" t="s">
        <v>4253</v>
      </c>
      <c r="S391" s="93">
        <v>21203</v>
      </c>
      <c r="U391" s="19" t="s">
        <v>5598</v>
      </c>
      <c r="V391" s="19">
        <v>4434</v>
      </c>
      <c r="W391" s="115">
        <v>2639.970566</v>
      </c>
      <c r="X391" s="115">
        <f t="shared" si="101"/>
        <v>11705629.489644</v>
      </c>
      <c r="Y391" s="261" t="s">
        <v>5608</v>
      </c>
      <c r="AB391" t="s">
        <v>25</v>
      </c>
      <c r="AI391" s="147">
        <v>100</v>
      </c>
      <c r="AJ391" s="147" t="s">
        <v>5064</v>
      </c>
      <c r="AK391" s="186">
        <v>11500000</v>
      </c>
      <c r="AL391" s="147">
        <v>2</v>
      </c>
      <c r="AM391" s="147">
        <f t="shared" si="102"/>
        <v>562</v>
      </c>
      <c r="AN391" s="147">
        <f t="shared" si="103"/>
        <v>6463000000</v>
      </c>
      <c r="AO391" s="147" t="s">
        <v>5066</v>
      </c>
    </row>
    <row r="392" spans="16:46">
      <c r="R392" s="97" t="s">
        <v>5111</v>
      </c>
      <c r="S392" s="93">
        <v>34550</v>
      </c>
      <c r="U392" s="19" t="s">
        <v>5598</v>
      </c>
      <c r="V392" s="19">
        <v>2349</v>
      </c>
      <c r="W392" s="115">
        <v>2639.970566</v>
      </c>
      <c r="X392" s="115">
        <f t="shared" si="101"/>
        <v>6201290.859534</v>
      </c>
      <c r="Y392" s="261" t="s">
        <v>5609</v>
      </c>
      <c r="AI392" s="147">
        <v>101</v>
      </c>
      <c r="AJ392" s="147" t="s">
        <v>5068</v>
      </c>
      <c r="AK392" s="186">
        <v>250000</v>
      </c>
      <c r="AL392" s="147">
        <v>3</v>
      </c>
      <c r="AM392" s="147">
        <f t="shared" si="102"/>
        <v>560</v>
      </c>
      <c r="AN392" s="147">
        <f t="shared" si="103"/>
        <v>140000000</v>
      </c>
      <c r="AO392" s="147"/>
    </row>
    <row r="393" spans="16:46" ht="30">
      <c r="P393" t="s">
        <v>25</v>
      </c>
      <c r="R393" s="97" t="s">
        <v>5148</v>
      </c>
      <c r="S393" s="93">
        <v>-2134406</v>
      </c>
      <c r="U393" s="19" t="s">
        <v>5598</v>
      </c>
      <c r="V393" s="19">
        <v>-568</v>
      </c>
      <c r="W393" s="115">
        <v>2639.970566</v>
      </c>
      <c r="X393" s="115">
        <f t="shared" si="101"/>
        <v>-1499503.2814879999</v>
      </c>
      <c r="Y393" s="261" t="s">
        <v>5610</v>
      </c>
      <c r="Z393" t="s">
        <v>25</v>
      </c>
      <c r="AI393" s="147">
        <v>102</v>
      </c>
      <c r="AJ393" s="147" t="s">
        <v>5093</v>
      </c>
      <c r="AK393" s="186">
        <v>6000000</v>
      </c>
      <c r="AL393" s="147">
        <v>1</v>
      </c>
      <c r="AM393" s="147">
        <f t="shared" si="102"/>
        <v>557</v>
      </c>
      <c r="AN393" s="147">
        <f t="shared" si="103"/>
        <v>3342000000</v>
      </c>
      <c r="AO393" s="147" t="s">
        <v>5066</v>
      </c>
      <c r="AS393" t="s">
        <v>25</v>
      </c>
    </row>
    <row r="394" spans="16:46" ht="30">
      <c r="R394" s="97" t="s">
        <v>5151</v>
      </c>
      <c r="S394" s="93">
        <v>-618906</v>
      </c>
      <c r="U394" s="19" t="s">
        <v>5598</v>
      </c>
      <c r="V394" s="19">
        <v>568</v>
      </c>
      <c r="W394" s="115">
        <v>2639.970566</v>
      </c>
      <c r="X394" s="115">
        <f t="shared" si="101"/>
        <v>1499503.2814879999</v>
      </c>
      <c r="Y394" s="261" t="s">
        <v>5610</v>
      </c>
      <c r="AI394" s="147">
        <v>103</v>
      </c>
      <c r="AJ394" s="147" t="s">
        <v>5094</v>
      </c>
      <c r="AK394" s="186">
        <v>1500000</v>
      </c>
      <c r="AL394" s="147">
        <v>6</v>
      </c>
      <c r="AM394" s="147">
        <f t="shared" si="102"/>
        <v>556</v>
      </c>
      <c r="AN394" s="147">
        <f t="shared" si="103"/>
        <v>834000000</v>
      </c>
      <c r="AO394" s="147" t="s">
        <v>5066</v>
      </c>
    </row>
    <row r="395" spans="16:46">
      <c r="R395" s="97" t="s">
        <v>5193</v>
      </c>
      <c r="S395" s="93">
        <v>-54615</v>
      </c>
      <c r="U395" s="19" t="s">
        <v>5601</v>
      </c>
      <c r="V395" s="19">
        <v>4589</v>
      </c>
      <c r="W395" s="115">
        <v>2639.970566</v>
      </c>
      <c r="X395" s="115">
        <f t="shared" si="101"/>
        <v>12114824.927374</v>
      </c>
      <c r="Y395" s="261" t="s">
        <v>5611</v>
      </c>
      <c r="Z395" t="s">
        <v>25</v>
      </c>
      <c r="AI395" s="20">
        <v>104</v>
      </c>
      <c r="AJ395" s="20" t="s">
        <v>958</v>
      </c>
      <c r="AK395" s="115">
        <v>-3960043</v>
      </c>
      <c r="AL395" s="20">
        <v>2</v>
      </c>
      <c r="AM395" s="20">
        <f t="shared" si="102"/>
        <v>550</v>
      </c>
      <c r="AN395" s="20">
        <f t="shared" si="103"/>
        <v>-2178023650</v>
      </c>
      <c r="AO395" s="20"/>
    </row>
    <row r="396" spans="16:46">
      <c r="R396" s="97" t="s">
        <v>5238</v>
      </c>
      <c r="S396" s="93">
        <v>18000000</v>
      </c>
      <c r="U396" s="19" t="s">
        <v>5601</v>
      </c>
      <c r="V396" s="19">
        <v>41959</v>
      </c>
      <c r="W396" s="115">
        <v>2639.970566</v>
      </c>
      <c r="X396" s="115">
        <f t="shared" ref="X396:X537" si="104">V396*W396</f>
        <v>110770524.97879399</v>
      </c>
      <c r="Y396" s="261" t="s">
        <v>5098</v>
      </c>
      <c r="AI396" s="20">
        <v>105</v>
      </c>
      <c r="AJ396" s="20" t="s">
        <v>5112</v>
      </c>
      <c r="AK396" s="115">
        <v>230000</v>
      </c>
      <c r="AL396" s="20">
        <v>0</v>
      </c>
      <c r="AM396" s="20">
        <f t="shared" si="102"/>
        <v>548</v>
      </c>
      <c r="AN396" s="20">
        <f t="shared" si="103"/>
        <v>126040000</v>
      </c>
      <c r="AO396" s="20"/>
    </row>
    <row r="397" spans="16:46">
      <c r="R397" s="97" t="s">
        <v>5245</v>
      </c>
      <c r="S397" s="93">
        <v>20000000</v>
      </c>
      <c r="U397" s="19" t="s">
        <v>5613</v>
      </c>
      <c r="V397" s="19">
        <v>2486</v>
      </c>
      <c r="W397" s="115">
        <v>2688.7156100000002</v>
      </c>
      <c r="X397" s="115">
        <f t="shared" si="104"/>
        <v>6684147.0064600008</v>
      </c>
      <c r="Y397" s="261" t="s">
        <v>5098</v>
      </c>
      <c r="AI397" s="147">
        <v>106</v>
      </c>
      <c r="AJ397" s="147" t="s">
        <v>5112</v>
      </c>
      <c r="AK397" s="186">
        <v>230000</v>
      </c>
      <c r="AL397" s="147">
        <v>1</v>
      </c>
      <c r="AM397" s="147">
        <f t="shared" si="102"/>
        <v>548</v>
      </c>
      <c r="AN397" s="147">
        <f t="shared" si="103"/>
        <v>126040000</v>
      </c>
      <c r="AO397" s="147"/>
    </row>
    <row r="398" spans="16:46" ht="21" customHeight="1">
      <c r="R398" s="97" t="s">
        <v>5319</v>
      </c>
      <c r="S398" s="93">
        <v>27694196</v>
      </c>
      <c r="U398" s="19" t="s">
        <v>5616</v>
      </c>
      <c r="V398" s="19">
        <v>652</v>
      </c>
      <c r="W398" s="115">
        <v>2801.4344030000002</v>
      </c>
      <c r="X398" s="115">
        <f t="shared" si="104"/>
        <v>1826535.2307560001</v>
      </c>
      <c r="Y398" s="261" t="s">
        <v>5098</v>
      </c>
      <c r="AI398" s="147">
        <v>107</v>
      </c>
      <c r="AJ398" s="147" t="s">
        <v>5113</v>
      </c>
      <c r="AK398" s="186">
        <v>500000</v>
      </c>
      <c r="AL398" s="147">
        <v>1</v>
      </c>
      <c r="AM398" s="147">
        <f t="shared" si="102"/>
        <v>547</v>
      </c>
      <c r="AN398" s="147">
        <f t="shared" si="103"/>
        <v>273500000</v>
      </c>
      <c r="AO398" s="147"/>
    </row>
    <row r="399" spans="16:46">
      <c r="R399" s="97" t="s">
        <v>5320</v>
      </c>
      <c r="S399" s="93">
        <v>7211722</v>
      </c>
      <c r="T399" t="s">
        <v>25</v>
      </c>
      <c r="U399" s="187" t="s">
        <v>5616</v>
      </c>
      <c r="V399" s="187">
        <v>-536</v>
      </c>
      <c r="W399" s="186">
        <v>2801.4344030000002</v>
      </c>
      <c r="X399" s="186">
        <f t="shared" si="104"/>
        <v>-1501568.8400080001</v>
      </c>
      <c r="Y399" s="260" t="s">
        <v>5628</v>
      </c>
      <c r="AI399" s="20">
        <v>108</v>
      </c>
      <c r="AJ399" s="20" t="s">
        <v>5116</v>
      </c>
      <c r="AK399" s="115">
        <v>-880000</v>
      </c>
      <c r="AL399" s="20">
        <v>4</v>
      </c>
      <c r="AM399" s="20">
        <f t="shared" si="102"/>
        <v>546</v>
      </c>
      <c r="AN399" s="20">
        <f t="shared" si="103"/>
        <v>-480480000</v>
      </c>
      <c r="AO399" s="20"/>
    </row>
    <row r="400" spans="16:46" ht="18" customHeight="1">
      <c r="R400" s="97" t="s">
        <v>5324</v>
      </c>
      <c r="S400" s="93">
        <v>8481864</v>
      </c>
      <c r="U400" s="19" t="s">
        <v>5620</v>
      </c>
      <c r="V400" s="19">
        <v>1351</v>
      </c>
      <c r="W400" s="115">
        <v>2647.94</v>
      </c>
      <c r="X400" s="115">
        <f t="shared" si="104"/>
        <v>3577366.94</v>
      </c>
      <c r="Y400" s="261" t="s">
        <v>5098</v>
      </c>
      <c r="AI400" s="192">
        <v>109</v>
      </c>
      <c r="AJ400" s="192" t="s">
        <v>5120</v>
      </c>
      <c r="AK400" s="193">
        <v>873000</v>
      </c>
      <c r="AL400" s="192">
        <v>0</v>
      </c>
      <c r="AM400" s="192">
        <f t="shared" si="102"/>
        <v>542</v>
      </c>
      <c r="AN400" s="192">
        <f t="shared" si="103"/>
        <v>473166000</v>
      </c>
      <c r="AO400" s="192" t="s">
        <v>5066</v>
      </c>
    </row>
    <row r="401" spans="18:46" ht="21" customHeight="1">
      <c r="R401" s="97" t="s">
        <v>5328</v>
      </c>
      <c r="S401" s="93">
        <v>1558697</v>
      </c>
      <c r="U401" s="19" t="s">
        <v>5622</v>
      </c>
      <c r="V401" s="19">
        <v>8402</v>
      </c>
      <c r="W401" s="115">
        <v>2527.8539839999999</v>
      </c>
      <c r="X401" s="115">
        <f t="shared" si="104"/>
        <v>21239029.173567999</v>
      </c>
      <c r="Y401" s="261" t="s">
        <v>5098</v>
      </c>
      <c r="AE401" t="s">
        <v>25</v>
      </c>
      <c r="AI401" s="20">
        <v>110</v>
      </c>
      <c r="AJ401" s="20" t="s">
        <v>5120</v>
      </c>
      <c r="AK401" s="115">
        <v>127000</v>
      </c>
      <c r="AL401" s="20">
        <v>0</v>
      </c>
      <c r="AM401" s="20">
        <f t="shared" si="102"/>
        <v>542</v>
      </c>
      <c r="AN401" s="20">
        <f t="shared" si="103"/>
        <v>68834000</v>
      </c>
      <c r="AO401" s="20" t="s">
        <v>5066</v>
      </c>
    </row>
    <row r="402" spans="18:46">
      <c r="R402" s="97" t="s">
        <v>5329</v>
      </c>
      <c r="S402" s="93">
        <v>9042009</v>
      </c>
      <c r="U402" s="19" t="s">
        <v>5625</v>
      </c>
      <c r="V402" s="19">
        <v>98141</v>
      </c>
      <c r="W402" s="115">
        <v>2475.593813</v>
      </c>
      <c r="X402" s="115">
        <f t="shared" si="104"/>
        <v>242957252.40163299</v>
      </c>
      <c r="Y402" s="261" t="s">
        <v>5098</v>
      </c>
      <c r="AI402" s="20">
        <v>111</v>
      </c>
      <c r="AJ402" s="20" t="s">
        <v>5120</v>
      </c>
      <c r="AK402" s="115">
        <v>73000</v>
      </c>
      <c r="AL402" s="20">
        <v>1</v>
      </c>
      <c r="AM402" s="20">
        <f t="shared" si="102"/>
        <v>542</v>
      </c>
      <c r="AN402" s="20">
        <f t="shared" si="103"/>
        <v>39566000</v>
      </c>
      <c r="AO402" s="20"/>
      <c r="AT402" t="s">
        <v>25</v>
      </c>
    </row>
    <row r="403" spans="18:46">
      <c r="R403" s="97" t="s">
        <v>5333</v>
      </c>
      <c r="S403" s="93">
        <v>94969</v>
      </c>
      <c r="U403" s="19" t="s">
        <v>5629</v>
      </c>
      <c r="V403" s="19">
        <v>2910</v>
      </c>
      <c r="W403" s="115">
        <v>2528.240988</v>
      </c>
      <c r="X403" s="115">
        <f t="shared" si="104"/>
        <v>7357181.2750800001</v>
      </c>
      <c r="Y403" s="261" t="s">
        <v>5098</v>
      </c>
      <c r="AA403" t="s">
        <v>25</v>
      </c>
      <c r="AI403" s="20">
        <v>112</v>
      </c>
      <c r="AJ403" s="20" t="s">
        <v>975</v>
      </c>
      <c r="AK403" s="115">
        <v>4300000</v>
      </c>
      <c r="AL403" s="20">
        <v>1</v>
      </c>
      <c r="AM403" s="20">
        <f t="shared" si="102"/>
        <v>541</v>
      </c>
      <c r="AN403" s="20">
        <f t="shared" si="103"/>
        <v>2326300000</v>
      </c>
      <c r="AO403" s="20"/>
    </row>
    <row r="404" spans="18:46">
      <c r="R404" s="97" t="s">
        <v>5333</v>
      </c>
      <c r="S404" s="93">
        <v>40000000</v>
      </c>
      <c r="U404" s="19" t="s">
        <v>5631</v>
      </c>
      <c r="V404" s="19">
        <v>5652</v>
      </c>
      <c r="W404" s="115">
        <v>2645.3312000000001</v>
      </c>
      <c r="X404" s="115">
        <f t="shared" si="104"/>
        <v>14951411.942400001</v>
      </c>
      <c r="Y404" s="261" t="s">
        <v>5098</v>
      </c>
      <c r="AI404" s="20">
        <v>113</v>
      </c>
      <c r="AJ404" s="20" t="s">
        <v>4996</v>
      </c>
      <c r="AK404" s="115">
        <v>1600000</v>
      </c>
      <c r="AL404" s="20">
        <v>0</v>
      </c>
      <c r="AM404" s="20">
        <f t="shared" si="102"/>
        <v>540</v>
      </c>
      <c r="AN404" s="20">
        <f t="shared" si="103"/>
        <v>864000000</v>
      </c>
      <c r="AO404" s="20"/>
    </row>
    <row r="405" spans="18:46">
      <c r="R405" s="97" t="s">
        <v>5334</v>
      </c>
      <c r="S405" s="93">
        <v>2806274</v>
      </c>
      <c r="U405" s="19" t="s">
        <v>5635</v>
      </c>
      <c r="V405" s="19">
        <v>18764</v>
      </c>
      <c r="W405" s="115">
        <v>2554.2639829999998</v>
      </c>
      <c r="X405" s="115">
        <f t="shared" si="104"/>
        <v>47928209.377011999</v>
      </c>
      <c r="Y405" s="261" t="s">
        <v>5098</v>
      </c>
      <c r="AI405" s="20">
        <v>114</v>
      </c>
      <c r="AJ405" s="20" t="s">
        <v>4253</v>
      </c>
      <c r="AK405" s="115">
        <v>-10000000</v>
      </c>
      <c r="AL405" s="20">
        <v>1</v>
      </c>
      <c r="AM405" s="20">
        <f t="shared" si="102"/>
        <v>540</v>
      </c>
      <c r="AN405" s="20">
        <f t="shared" si="103"/>
        <v>-5400000000</v>
      </c>
      <c r="AO405" s="20" t="s">
        <v>5126</v>
      </c>
    </row>
    <row r="406" spans="18:46">
      <c r="R406" s="97" t="s">
        <v>5342</v>
      </c>
      <c r="S406" s="93">
        <v>1331702</v>
      </c>
      <c r="U406" s="19" t="s">
        <v>5637</v>
      </c>
      <c r="V406" s="19">
        <v>930</v>
      </c>
      <c r="W406" s="115">
        <v>2453.3287089999999</v>
      </c>
      <c r="X406" s="115">
        <f t="shared" si="104"/>
        <v>2281595.69937</v>
      </c>
      <c r="Y406" s="261" t="s">
        <v>5098</v>
      </c>
      <c r="AB406" t="s">
        <v>25</v>
      </c>
      <c r="AI406" s="20">
        <v>115</v>
      </c>
      <c r="AJ406" s="20" t="s">
        <v>5125</v>
      </c>
      <c r="AK406" s="115">
        <v>571000</v>
      </c>
      <c r="AL406" s="20">
        <v>4</v>
      </c>
      <c r="AM406" s="20">
        <f t="shared" si="102"/>
        <v>539</v>
      </c>
      <c r="AN406" s="20">
        <f t="shared" si="103"/>
        <v>307769000</v>
      </c>
      <c r="AO406" s="20"/>
    </row>
    <row r="407" spans="18:46">
      <c r="R407" s="97" t="s">
        <v>5376</v>
      </c>
      <c r="S407" s="93">
        <v>851238</v>
      </c>
      <c r="U407" s="19" t="s">
        <v>5639</v>
      </c>
      <c r="V407" s="19">
        <v>1167</v>
      </c>
      <c r="W407" s="115">
        <v>2540.6307069999998</v>
      </c>
      <c r="X407" s="115">
        <f t="shared" si="104"/>
        <v>2964916.035069</v>
      </c>
      <c r="Y407" s="261" t="s">
        <v>5098</v>
      </c>
      <c r="AI407" s="20">
        <v>116</v>
      </c>
      <c r="AJ407" s="20" t="s">
        <v>5127</v>
      </c>
      <c r="AK407" s="115">
        <v>200000</v>
      </c>
      <c r="AL407" s="20">
        <v>3</v>
      </c>
      <c r="AM407" s="20">
        <f t="shared" ref="AM407:AM418" si="105">AL407+AM408</f>
        <v>535</v>
      </c>
      <c r="AN407" s="20">
        <f t="shared" ref="AN407:AN418" si="106">AK407*AM407</f>
        <v>107000000</v>
      </c>
      <c r="AO407" s="20"/>
    </row>
    <row r="408" spans="18:46">
      <c r="R408" s="97" t="s">
        <v>5419</v>
      </c>
      <c r="S408" s="93">
        <v>652592</v>
      </c>
      <c r="U408" s="19" t="s">
        <v>5640</v>
      </c>
      <c r="V408" s="19">
        <v>2538</v>
      </c>
      <c r="W408" s="115">
        <v>2545.5277489999999</v>
      </c>
      <c r="X408" s="115">
        <f t="shared" si="104"/>
        <v>6460549.4269619994</v>
      </c>
      <c r="Y408" s="261" t="s">
        <v>5098</v>
      </c>
      <c r="AA408" t="s">
        <v>25</v>
      </c>
      <c r="AB408" t="s">
        <v>25</v>
      </c>
      <c r="AI408" s="147">
        <v>117</v>
      </c>
      <c r="AJ408" s="147" t="s">
        <v>5133</v>
      </c>
      <c r="AK408" s="186">
        <v>50000</v>
      </c>
      <c r="AL408" s="147">
        <v>7</v>
      </c>
      <c r="AM408" s="147">
        <f t="shared" si="105"/>
        <v>532</v>
      </c>
      <c r="AN408" s="147">
        <f t="shared" si="106"/>
        <v>26600000</v>
      </c>
      <c r="AO408" s="147"/>
    </row>
    <row r="409" spans="18:46">
      <c r="R409" s="97" t="s">
        <v>5420</v>
      </c>
      <c r="S409" s="93">
        <v>554139</v>
      </c>
      <c r="U409" s="19" t="s">
        <v>5642</v>
      </c>
      <c r="V409" s="19">
        <v>2106</v>
      </c>
      <c r="W409" s="115">
        <v>2474.9857059999999</v>
      </c>
      <c r="X409" s="115">
        <f t="shared" si="104"/>
        <v>5212319.8968359996</v>
      </c>
      <c r="Y409" s="261" t="s">
        <v>5098</v>
      </c>
      <c r="AB409" t="s">
        <v>25</v>
      </c>
      <c r="AI409" s="20">
        <v>118</v>
      </c>
      <c r="AJ409" s="20" t="s">
        <v>5141</v>
      </c>
      <c r="AK409" s="115">
        <v>-500000</v>
      </c>
      <c r="AL409" s="20">
        <v>12</v>
      </c>
      <c r="AM409" s="20">
        <f t="shared" si="105"/>
        <v>525</v>
      </c>
      <c r="AN409" s="20">
        <f t="shared" si="106"/>
        <v>-262500000</v>
      </c>
      <c r="AO409" s="20"/>
    </row>
    <row r="410" spans="18:46">
      <c r="R410" s="97" t="s">
        <v>5421</v>
      </c>
      <c r="S410" s="93">
        <v>70373089</v>
      </c>
      <c r="U410" s="19" t="s">
        <v>5645</v>
      </c>
      <c r="V410" s="19">
        <v>1801</v>
      </c>
      <c r="W410" s="115">
        <v>2512.2134809999998</v>
      </c>
      <c r="X410" s="115">
        <f t="shared" si="104"/>
        <v>4524496.4792809999</v>
      </c>
      <c r="Y410" s="261" t="s">
        <v>5098</v>
      </c>
      <c r="AI410" s="147">
        <v>119</v>
      </c>
      <c r="AJ410" s="147" t="s">
        <v>974</v>
      </c>
      <c r="AK410" s="186">
        <v>-50000</v>
      </c>
      <c r="AL410" s="147">
        <v>0</v>
      </c>
      <c r="AM410" s="147">
        <f t="shared" si="105"/>
        <v>513</v>
      </c>
      <c r="AN410" s="147">
        <f t="shared" si="106"/>
        <v>-25650000</v>
      </c>
      <c r="AO410" s="147"/>
    </row>
    <row r="411" spans="18:46">
      <c r="R411" s="97" t="s">
        <v>5422</v>
      </c>
      <c r="S411" s="93">
        <v>1219655</v>
      </c>
      <c r="U411" s="19" t="s">
        <v>5647</v>
      </c>
      <c r="V411" s="19">
        <v>9184</v>
      </c>
      <c r="W411" s="115">
        <v>2489.76919</v>
      </c>
      <c r="X411" s="115">
        <f t="shared" si="104"/>
        <v>22866040.240959998</v>
      </c>
      <c r="Y411" s="261" t="s">
        <v>5098</v>
      </c>
      <c r="AI411" s="20">
        <v>120</v>
      </c>
      <c r="AJ411" s="20" t="s">
        <v>974</v>
      </c>
      <c r="AK411" s="115">
        <v>-50000</v>
      </c>
      <c r="AL411" s="20">
        <v>28</v>
      </c>
      <c r="AM411" s="20">
        <f t="shared" si="105"/>
        <v>513</v>
      </c>
      <c r="AN411" s="20">
        <f t="shared" si="106"/>
        <v>-25650000</v>
      </c>
      <c r="AO411" s="20"/>
    </row>
    <row r="412" spans="18:46">
      <c r="R412" s="97" t="s">
        <v>5423</v>
      </c>
      <c r="S412" s="93">
        <v>15350146</v>
      </c>
      <c r="U412" s="19" t="s">
        <v>5649</v>
      </c>
      <c r="V412" s="19">
        <v>6259</v>
      </c>
      <c r="W412" s="115">
        <v>2453.954988</v>
      </c>
      <c r="X412" s="115">
        <f t="shared" si="104"/>
        <v>15359304.269892</v>
      </c>
      <c r="Y412" s="261" t="s">
        <v>5098</v>
      </c>
      <c r="Z412" t="s">
        <v>25</v>
      </c>
      <c r="AI412" s="20">
        <v>121</v>
      </c>
      <c r="AJ412" s="20" t="s">
        <v>5182</v>
      </c>
      <c r="AK412" s="115">
        <v>-3020625</v>
      </c>
      <c r="AL412" s="20">
        <v>18</v>
      </c>
      <c r="AM412" s="20">
        <f t="shared" si="105"/>
        <v>485</v>
      </c>
      <c r="AN412" s="20">
        <f t="shared" si="106"/>
        <v>-1465003125</v>
      </c>
      <c r="AO412" s="20"/>
    </row>
    <row r="413" spans="18:46">
      <c r="R413" s="97" t="s">
        <v>5427</v>
      </c>
      <c r="S413" s="93">
        <v>121018</v>
      </c>
      <c r="U413" s="19" t="s">
        <v>5651</v>
      </c>
      <c r="V413" s="19">
        <v>1223</v>
      </c>
      <c r="W413" s="115">
        <v>2345.4686710000001</v>
      </c>
      <c r="X413" s="115">
        <f t="shared" si="104"/>
        <v>2868508.1846330003</v>
      </c>
      <c r="Y413" s="261" t="s">
        <v>5098</v>
      </c>
      <c r="AI413" s="20">
        <v>122</v>
      </c>
      <c r="AJ413" s="20" t="s">
        <v>5193</v>
      </c>
      <c r="AK413" s="115">
        <v>18000000</v>
      </c>
      <c r="AL413" s="20">
        <v>19</v>
      </c>
      <c r="AM413" s="20">
        <f t="shared" si="105"/>
        <v>467</v>
      </c>
      <c r="AN413" s="20">
        <f t="shared" si="106"/>
        <v>8406000000</v>
      </c>
      <c r="AO413" s="20"/>
      <c r="AS413" t="s">
        <v>25</v>
      </c>
    </row>
    <row r="414" spans="18:46">
      <c r="R414" s="97" t="s">
        <v>5439</v>
      </c>
      <c r="S414" s="93">
        <v>1024993</v>
      </c>
      <c r="U414" s="19" t="s">
        <v>5652</v>
      </c>
      <c r="V414" s="19">
        <v>7804</v>
      </c>
      <c r="W414" s="115">
        <v>2236.0831640000001</v>
      </c>
      <c r="X414" s="115">
        <f t="shared" si="104"/>
        <v>17450393.011856001</v>
      </c>
      <c r="Y414" s="261" t="s">
        <v>5098</v>
      </c>
      <c r="AI414" s="20">
        <v>123</v>
      </c>
      <c r="AJ414" s="20" t="s">
        <v>5220</v>
      </c>
      <c r="AK414" s="115">
        <v>2000000</v>
      </c>
      <c r="AL414" s="20">
        <v>6</v>
      </c>
      <c r="AM414" s="20">
        <f t="shared" si="105"/>
        <v>448</v>
      </c>
      <c r="AN414" s="20">
        <f t="shared" si="106"/>
        <v>896000000</v>
      </c>
      <c r="AO414" s="20"/>
    </row>
    <row r="415" spans="18:46">
      <c r="R415" s="97" t="s">
        <v>5440</v>
      </c>
      <c r="S415" s="93">
        <v>1948077</v>
      </c>
      <c r="U415" s="19" t="s">
        <v>5653</v>
      </c>
      <c r="V415" s="19">
        <v>14589</v>
      </c>
      <c r="W415" s="115">
        <v>2151.5486500000002</v>
      </c>
      <c r="X415" s="115">
        <f t="shared" si="104"/>
        <v>31388943.254850004</v>
      </c>
      <c r="Y415" s="261" t="s">
        <v>5098</v>
      </c>
      <c r="AI415" s="147">
        <v>124</v>
      </c>
      <c r="AJ415" s="147" t="s">
        <v>5229</v>
      </c>
      <c r="AK415" s="186">
        <v>40000000</v>
      </c>
      <c r="AL415" s="147">
        <v>6</v>
      </c>
      <c r="AM415" s="147">
        <f t="shared" si="105"/>
        <v>442</v>
      </c>
      <c r="AN415" s="147">
        <f t="shared" si="106"/>
        <v>17680000000</v>
      </c>
      <c r="AO415" s="147"/>
      <c r="AT415" t="s">
        <v>25</v>
      </c>
    </row>
    <row r="416" spans="18:46">
      <c r="R416" s="97" t="s">
        <v>5441</v>
      </c>
      <c r="S416" s="93">
        <v>50000120</v>
      </c>
      <c r="U416" s="19" t="s">
        <v>5654</v>
      </c>
      <c r="V416" s="19">
        <v>14741</v>
      </c>
      <c r="W416" s="115">
        <v>2097.0148140000001</v>
      </c>
      <c r="X416" s="115">
        <f t="shared" si="104"/>
        <v>30912095.373174001</v>
      </c>
      <c r="Y416" s="261" t="s">
        <v>5098</v>
      </c>
      <c r="Z416" t="s">
        <v>25</v>
      </c>
      <c r="AI416" s="20">
        <v>125</v>
      </c>
      <c r="AJ416" s="20" t="s">
        <v>5238</v>
      </c>
      <c r="AK416" s="115">
        <v>200000</v>
      </c>
      <c r="AL416" s="20">
        <v>0</v>
      </c>
      <c r="AM416" s="20">
        <f t="shared" si="105"/>
        <v>436</v>
      </c>
      <c r="AN416" s="20">
        <f t="shared" si="106"/>
        <v>87200000</v>
      </c>
      <c r="AO416" s="20"/>
    </row>
    <row r="417" spans="18:46">
      <c r="R417" s="97" t="s">
        <v>5464</v>
      </c>
      <c r="S417" s="93">
        <v>20000055</v>
      </c>
      <c r="U417" s="19" t="s">
        <v>5656</v>
      </c>
      <c r="V417" s="19">
        <v>10237</v>
      </c>
      <c r="W417" s="115">
        <v>1914.9092619999999</v>
      </c>
      <c r="X417" s="115">
        <f t="shared" si="104"/>
        <v>19602926.115093999</v>
      </c>
      <c r="Y417" s="261" t="s">
        <v>5098</v>
      </c>
      <c r="AA417" t="s">
        <v>25</v>
      </c>
      <c r="AI417" s="147">
        <v>126</v>
      </c>
      <c r="AJ417" s="147" t="s">
        <v>5238</v>
      </c>
      <c r="AK417" s="186">
        <v>200000</v>
      </c>
      <c r="AL417" s="147">
        <v>1</v>
      </c>
      <c r="AM417" s="147">
        <f t="shared" si="105"/>
        <v>436</v>
      </c>
      <c r="AN417" s="147">
        <f t="shared" si="106"/>
        <v>87200000</v>
      </c>
      <c r="AO417" s="147"/>
      <c r="AS417" t="s">
        <v>25</v>
      </c>
      <c r="AT417" t="s">
        <v>25</v>
      </c>
    </row>
    <row r="418" spans="18:46">
      <c r="R418" s="97" t="s">
        <v>5465</v>
      </c>
      <c r="S418" s="93">
        <v>5745697</v>
      </c>
      <c r="U418" s="19" t="s">
        <v>5660</v>
      </c>
      <c r="V418" s="19">
        <v>19211</v>
      </c>
      <c r="W418" s="115">
        <v>1793.6906100000001</v>
      </c>
      <c r="X418" s="115">
        <f t="shared" si="104"/>
        <v>34458590.308710001</v>
      </c>
      <c r="Y418" s="261" t="s">
        <v>5098</v>
      </c>
      <c r="AA418" t="s">
        <v>25</v>
      </c>
      <c r="AI418" s="20">
        <v>127</v>
      </c>
      <c r="AJ418" s="20" t="s">
        <v>5241</v>
      </c>
      <c r="AK418" s="115">
        <v>50000</v>
      </c>
      <c r="AL418" s="20">
        <v>4</v>
      </c>
      <c r="AM418" s="20">
        <f t="shared" si="105"/>
        <v>435</v>
      </c>
      <c r="AN418" s="20">
        <f t="shared" si="106"/>
        <v>21750000</v>
      </c>
      <c r="AO418" s="20"/>
    </row>
    <row r="419" spans="18:46">
      <c r="R419" s="97" t="s">
        <v>5466</v>
      </c>
      <c r="S419" s="93">
        <v>908158</v>
      </c>
      <c r="U419" s="19" t="s">
        <v>5662</v>
      </c>
      <c r="V419" s="19">
        <v>11599</v>
      </c>
      <c r="W419" s="115">
        <v>1870.667144</v>
      </c>
      <c r="X419" s="115">
        <f t="shared" si="104"/>
        <v>21697868.203256</v>
      </c>
      <c r="Y419" s="261" t="s">
        <v>5098</v>
      </c>
      <c r="Z419" t="s">
        <v>25</v>
      </c>
      <c r="AI419" s="20">
        <v>128</v>
      </c>
      <c r="AJ419" s="20" t="s">
        <v>5243</v>
      </c>
      <c r="AK419" s="115">
        <v>100000</v>
      </c>
      <c r="AL419" s="20">
        <v>9</v>
      </c>
      <c r="AM419" s="20">
        <f t="shared" ref="AM419:AM429" si="107">AL419+AM420</f>
        <v>431</v>
      </c>
      <c r="AN419" s="20">
        <f t="shared" ref="AN419:AN429" si="108">AK419*AM419</f>
        <v>43100000</v>
      </c>
      <c r="AO419" s="20"/>
    </row>
    <row r="420" spans="18:46">
      <c r="R420" s="97" t="s">
        <v>5467</v>
      </c>
      <c r="S420" s="93">
        <v>12642697</v>
      </c>
      <c r="T420" t="s">
        <v>25</v>
      </c>
      <c r="U420" s="19" t="s">
        <v>5664</v>
      </c>
      <c r="V420" s="19">
        <v>14098</v>
      </c>
      <c r="W420" s="115">
        <v>1797.423695</v>
      </c>
      <c r="X420" s="115">
        <f t="shared" si="104"/>
        <v>25340079.252110001</v>
      </c>
      <c r="Y420" s="261" t="s">
        <v>5098</v>
      </c>
      <c r="AI420" s="20">
        <v>129</v>
      </c>
      <c r="AJ420" s="20" t="s">
        <v>5259</v>
      </c>
      <c r="AK420" s="115">
        <v>-550000</v>
      </c>
      <c r="AL420" s="20">
        <v>5</v>
      </c>
      <c r="AM420" s="20">
        <f t="shared" si="107"/>
        <v>422</v>
      </c>
      <c r="AN420" s="20">
        <f t="shared" si="108"/>
        <v>-232100000</v>
      </c>
      <c r="AO420" s="20"/>
      <c r="AS420" t="s">
        <v>25</v>
      </c>
    </row>
    <row r="421" spans="18:46">
      <c r="R421" s="97" t="s">
        <v>5468</v>
      </c>
      <c r="S421" s="93">
        <v>12297317.81435</v>
      </c>
      <c r="U421" s="19" t="s">
        <v>5665</v>
      </c>
      <c r="V421" s="19">
        <v>8497</v>
      </c>
      <c r="W421" s="115">
        <v>1739.5531579999999</v>
      </c>
      <c r="X421" s="115">
        <f t="shared" si="104"/>
        <v>14780983.183526</v>
      </c>
      <c r="Y421" s="261" t="s">
        <v>5098</v>
      </c>
      <c r="AI421" s="20">
        <v>130</v>
      </c>
      <c r="AJ421" s="20" t="s">
        <v>5264</v>
      </c>
      <c r="AK421" s="115">
        <v>-29686490</v>
      </c>
      <c r="AL421" s="20">
        <v>1</v>
      </c>
      <c r="AM421" s="20">
        <f t="shared" si="107"/>
        <v>417</v>
      </c>
      <c r="AN421" s="20">
        <f t="shared" si="108"/>
        <v>-12379266330</v>
      </c>
      <c r="AO421" s="20"/>
    </row>
    <row r="422" spans="18:46" ht="30">
      <c r="R422" s="97" t="s">
        <v>5469</v>
      </c>
      <c r="S422" s="93">
        <v>8959643.8508579992</v>
      </c>
      <c r="U422" s="279" t="s">
        <v>5668</v>
      </c>
      <c r="V422" s="279">
        <v>163820</v>
      </c>
      <c r="W422" s="88">
        <v>1588.685326</v>
      </c>
      <c r="X422" s="88">
        <f t="shared" si="104"/>
        <v>260258430.10532001</v>
      </c>
      <c r="Y422" s="289" t="s">
        <v>5670</v>
      </c>
      <c r="AI422" s="20">
        <v>131</v>
      </c>
      <c r="AJ422" s="20" t="s">
        <v>5272</v>
      </c>
      <c r="AK422" s="115">
        <v>-9000000</v>
      </c>
      <c r="AL422" s="20">
        <v>8</v>
      </c>
      <c r="AM422" s="20">
        <f t="shared" si="107"/>
        <v>416</v>
      </c>
      <c r="AN422" s="20">
        <f t="shared" si="108"/>
        <v>-3744000000</v>
      </c>
      <c r="AO422" s="20"/>
    </row>
    <row r="423" spans="18:46">
      <c r="R423" s="97" t="s">
        <v>5484</v>
      </c>
      <c r="S423" s="93">
        <v>15154095.839328</v>
      </c>
      <c r="U423" s="19" t="s">
        <v>5668</v>
      </c>
      <c r="V423" s="19">
        <v>11207</v>
      </c>
      <c r="W423" s="115">
        <v>1588.685326</v>
      </c>
      <c r="X423" s="115">
        <f t="shared" si="104"/>
        <v>17804396.448481999</v>
      </c>
      <c r="Y423" s="261" t="s">
        <v>5098</v>
      </c>
      <c r="Z423" t="s">
        <v>25</v>
      </c>
      <c r="AA423" t="s">
        <v>25</v>
      </c>
      <c r="AI423" s="20">
        <v>132</v>
      </c>
      <c r="AJ423" s="20" t="s">
        <v>5315</v>
      </c>
      <c r="AK423" s="115">
        <v>810000</v>
      </c>
      <c r="AL423" s="20">
        <v>2</v>
      </c>
      <c r="AM423" s="20">
        <f t="shared" si="107"/>
        <v>408</v>
      </c>
      <c r="AN423" s="20">
        <f t="shared" si="108"/>
        <v>330480000</v>
      </c>
      <c r="AO423" s="20"/>
    </row>
    <row r="424" spans="18:46">
      <c r="R424" s="97" t="s">
        <v>5485</v>
      </c>
      <c r="S424" s="93">
        <v>50725508.571864001</v>
      </c>
      <c r="T424" t="s">
        <v>25</v>
      </c>
      <c r="U424" s="19" t="s">
        <v>5671</v>
      </c>
      <c r="V424" s="19">
        <v>7198</v>
      </c>
      <c r="W424" s="115">
        <v>1602.9918909999999</v>
      </c>
      <c r="X424" s="115">
        <f t="shared" si="104"/>
        <v>11538335.631417999</v>
      </c>
      <c r="Y424" s="261" t="s">
        <v>5098</v>
      </c>
      <c r="Z424" t="s">
        <v>25</v>
      </c>
      <c r="AI424" s="20">
        <v>133</v>
      </c>
      <c r="AJ424" s="20" t="s">
        <v>5320</v>
      </c>
      <c r="AK424" s="115">
        <v>-5000000</v>
      </c>
      <c r="AL424" s="20">
        <v>3</v>
      </c>
      <c r="AM424" s="20">
        <f t="shared" si="107"/>
        <v>406</v>
      </c>
      <c r="AN424" s="20">
        <f t="shared" si="108"/>
        <v>-2030000000</v>
      </c>
      <c r="AO424" s="20"/>
    </row>
    <row r="425" spans="18:46">
      <c r="R425" s="97" t="s">
        <v>5492</v>
      </c>
      <c r="S425" s="93">
        <v>2281961.458596</v>
      </c>
      <c r="U425" s="19" t="s">
        <v>5672</v>
      </c>
      <c r="V425" s="19">
        <v>7804</v>
      </c>
      <c r="W425" s="115">
        <v>1592.7111440000001</v>
      </c>
      <c r="X425" s="115">
        <f t="shared" si="104"/>
        <v>12429517.767776001</v>
      </c>
      <c r="Y425" s="261" t="s">
        <v>5098</v>
      </c>
      <c r="AA425" t="s">
        <v>25</v>
      </c>
      <c r="AI425" s="20">
        <v>134</v>
      </c>
      <c r="AJ425" s="20" t="s">
        <v>5324</v>
      </c>
      <c r="AK425" s="115">
        <v>-26000000</v>
      </c>
      <c r="AL425" s="20">
        <v>0</v>
      </c>
      <c r="AM425" s="20">
        <f t="shared" si="107"/>
        <v>403</v>
      </c>
      <c r="AN425" s="20">
        <f t="shared" si="108"/>
        <v>-10478000000</v>
      </c>
      <c r="AO425" s="20"/>
    </row>
    <row r="426" spans="18:46">
      <c r="R426" s="97" t="s">
        <v>5493</v>
      </c>
      <c r="S426" s="93">
        <v>10998285</v>
      </c>
      <c r="U426" s="19" t="s">
        <v>5680</v>
      </c>
      <c r="V426" s="19">
        <v>2827</v>
      </c>
      <c r="W426" s="115">
        <v>1779.6874809999999</v>
      </c>
      <c r="X426" s="115">
        <f t="shared" si="104"/>
        <v>5031176.5087869996</v>
      </c>
      <c r="Y426" s="261" t="s">
        <v>5098</v>
      </c>
      <c r="Z426" t="s">
        <v>25</v>
      </c>
      <c r="AI426" s="240">
        <v>135</v>
      </c>
      <c r="AJ426" s="240" t="s">
        <v>5324</v>
      </c>
      <c r="AK426" s="231">
        <v>-26000000</v>
      </c>
      <c r="AL426" s="240">
        <v>1</v>
      </c>
      <c r="AM426" s="240">
        <f t="shared" si="107"/>
        <v>403</v>
      </c>
      <c r="AN426" s="240">
        <f t="shared" si="108"/>
        <v>-10478000000</v>
      </c>
      <c r="AO426" s="240"/>
    </row>
    <row r="427" spans="18:46">
      <c r="R427" s="97" t="s">
        <v>5495</v>
      </c>
      <c r="S427" s="93">
        <v>983018.96187300002</v>
      </c>
      <c r="U427" s="19" t="s">
        <v>5682</v>
      </c>
      <c r="V427" s="19">
        <v>3385</v>
      </c>
      <c r="W427" s="115">
        <v>2015.5993820000001</v>
      </c>
      <c r="X427" s="115">
        <f t="shared" si="104"/>
        <v>6822803.9080700008</v>
      </c>
      <c r="Y427" s="261" t="s">
        <v>5098</v>
      </c>
      <c r="Z427" t="s">
        <v>25</v>
      </c>
      <c r="AA427" t="s">
        <v>25</v>
      </c>
      <c r="AI427" s="20">
        <v>136</v>
      </c>
      <c r="AJ427" s="20" t="s">
        <v>5328</v>
      </c>
      <c r="AK427" s="115">
        <v>-81800000</v>
      </c>
      <c r="AL427" s="20">
        <v>0</v>
      </c>
      <c r="AM427" s="20">
        <f t="shared" si="107"/>
        <v>402</v>
      </c>
      <c r="AN427" s="20">
        <f t="shared" si="108"/>
        <v>-32883600000</v>
      </c>
      <c r="AO427" s="20"/>
    </row>
    <row r="428" spans="18:46">
      <c r="R428" s="97" t="s">
        <v>5498</v>
      </c>
      <c r="S428" s="93">
        <v>17049271.032000002</v>
      </c>
      <c r="U428" s="19" t="s">
        <v>5686</v>
      </c>
      <c r="V428" s="19">
        <v>158</v>
      </c>
      <c r="W428" s="115">
        <v>2094.2388179999998</v>
      </c>
      <c r="X428" s="115">
        <f t="shared" si="104"/>
        <v>330889.73324399994</v>
      </c>
      <c r="Y428" s="261" t="s">
        <v>5098</v>
      </c>
      <c r="Z428" t="s">
        <v>25</v>
      </c>
      <c r="AI428" s="240">
        <v>137</v>
      </c>
      <c r="AJ428" s="240" t="s">
        <v>5328</v>
      </c>
      <c r="AK428" s="231">
        <v>-110000000</v>
      </c>
      <c r="AL428" s="240">
        <v>1</v>
      </c>
      <c r="AM428" s="240">
        <f t="shared" si="107"/>
        <v>402</v>
      </c>
      <c r="AN428" s="240">
        <f t="shared" si="108"/>
        <v>-44220000000</v>
      </c>
      <c r="AO428" s="240"/>
    </row>
    <row r="429" spans="18:46">
      <c r="R429" s="97" t="s">
        <v>4209</v>
      </c>
      <c r="S429" s="93">
        <v>6829998</v>
      </c>
      <c r="U429" s="19" t="s">
        <v>963</v>
      </c>
      <c r="V429" s="19">
        <v>5033</v>
      </c>
      <c r="W429" s="115">
        <v>2229.4976999999999</v>
      </c>
      <c r="X429" s="115">
        <f t="shared" si="104"/>
        <v>11221061.924099999</v>
      </c>
      <c r="Y429" s="261" t="s">
        <v>5691</v>
      </c>
      <c r="AA429" t="s">
        <v>25</v>
      </c>
      <c r="AI429" s="20">
        <v>138</v>
      </c>
      <c r="AJ429" s="20" t="s">
        <v>5329</v>
      </c>
      <c r="AK429" s="115">
        <v>-34000000</v>
      </c>
      <c r="AL429" s="20">
        <v>0</v>
      </c>
      <c r="AM429" s="20">
        <f t="shared" si="107"/>
        <v>401</v>
      </c>
      <c r="AN429" s="20">
        <f t="shared" si="108"/>
        <v>-13634000000</v>
      </c>
      <c r="AO429" s="20"/>
    </row>
    <row r="430" spans="18:46">
      <c r="R430" s="97" t="s">
        <v>5518</v>
      </c>
      <c r="S430" s="93">
        <v>6982608.8207999999</v>
      </c>
      <c r="U430" s="19" t="s">
        <v>5695</v>
      </c>
      <c r="V430" s="19">
        <v>2870</v>
      </c>
      <c r="W430" s="115">
        <v>2303.2467459999998</v>
      </c>
      <c r="X430" s="115">
        <f t="shared" si="104"/>
        <v>6610318.1610199995</v>
      </c>
      <c r="Y430" s="261" t="s">
        <v>5098</v>
      </c>
      <c r="AI430" s="147">
        <v>139</v>
      </c>
      <c r="AJ430" s="147" t="s">
        <v>5329</v>
      </c>
      <c r="AK430" s="186">
        <v>-23900000</v>
      </c>
      <c r="AL430" s="147">
        <v>5</v>
      </c>
      <c r="AM430" s="147">
        <f t="shared" ref="AM430:AM435" si="109">AL430+AM431</f>
        <v>401</v>
      </c>
      <c r="AN430" s="147">
        <f t="shared" ref="AN430:AN435" si="110">AK430*AM430</f>
        <v>-9583900000</v>
      </c>
      <c r="AO430" s="147"/>
    </row>
    <row r="431" spans="18:46">
      <c r="R431" s="97" t="s">
        <v>5524</v>
      </c>
      <c r="S431" s="93">
        <v>7510131.0216000006</v>
      </c>
      <c r="U431" s="19" t="s">
        <v>5696</v>
      </c>
      <c r="V431" s="19">
        <v>307</v>
      </c>
      <c r="W431" s="115">
        <v>2315.0266360000001</v>
      </c>
      <c r="X431" s="115">
        <f t="shared" si="104"/>
        <v>710713.17725199996</v>
      </c>
      <c r="Y431" s="261" t="s">
        <v>5098</v>
      </c>
      <c r="AI431" s="20">
        <v>140</v>
      </c>
      <c r="AJ431" s="20" t="s">
        <v>5342</v>
      </c>
      <c r="AK431" s="115">
        <v>1000000</v>
      </c>
      <c r="AL431" s="20">
        <v>0</v>
      </c>
      <c r="AM431" s="20">
        <f t="shared" si="109"/>
        <v>396</v>
      </c>
      <c r="AN431" s="20">
        <f t="shared" si="110"/>
        <v>396000000</v>
      </c>
      <c r="AO431" s="20"/>
    </row>
    <row r="432" spans="18:46" ht="30">
      <c r="R432" s="97" t="s">
        <v>5533</v>
      </c>
      <c r="S432" s="93">
        <v>7278025.5327000003</v>
      </c>
      <c r="U432" s="19" t="s">
        <v>5698</v>
      </c>
      <c r="V432" s="19">
        <v>35</v>
      </c>
      <c r="W432" s="115">
        <v>2315</v>
      </c>
      <c r="X432" s="115">
        <f t="shared" si="104"/>
        <v>81025</v>
      </c>
      <c r="Y432" s="261" t="s">
        <v>5700</v>
      </c>
      <c r="Z432" s="112"/>
      <c r="AI432" s="147">
        <v>141</v>
      </c>
      <c r="AJ432" s="147" t="s">
        <v>5342</v>
      </c>
      <c r="AK432" s="186">
        <v>1000000</v>
      </c>
      <c r="AL432" s="147">
        <v>4</v>
      </c>
      <c r="AM432" s="147">
        <f t="shared" si="109"/>
        <v>396</v>
      </c>
      <c r="AN432" s="147">
        <f t="shared" si="110"/>
        <v>396000000</v>
      </c>
      <c r="AO432" s="147"/>
    </row>
    <row r="433" spans="18:46">
      <c r="R433" s="97" t="s">
        <v>5538</v>
      </c>
      <c r="S433" s="93">
        <v>195059.35799999998</v>
      </c>
      <c r="T433" t="s">
        <v>25</v>
      </c>
      <c r="U433" s="19" t="s">
        <v>5701</v>
      </c>
      <c r="V433" s="19">
        <v>94</v>
      </c>
      <c r="W433" s="115">
        <v>2337.1980119999998</v>
      </c>
      <c r="X433" s="115">
        <f t="shared" si="104"/>
        <v>219696.613128</v>
      </c>
      <c r="Y433" s="261" t="s">
        <v>5098</v>
      </c>
      <c r="Z433" t="s">
        <v>25</v>
      </c>
      <c r="AA433" t="s">
        <v>25</v>
      </c>
      <c r="AI433" s="20">
        <v>142</v>
      </c>
      <c r="AJ433" s="20" t="s">
        <v>5348</v>
      </c>
      <c r="AK433" s="115">
        <v>400000</v>
      </c>
      <c r="AL433" s="20">
        <v>0</v>
      </c>
      <c r="AM433" s="20">
        <f t="shared" si="109"/>
        <v>392</v>
      </c>
      <c r="AN433" s="20">
        <f t="shared" si="110"/>
        <v>156800000</v>
      </c>
      <c r="AO433" s="20"/>
    </row>
    <row r="434" spans="18:46">
      <c r="R434" s="97" t="s">
        <v>5540</v>
      </c>
      <c r="S434" s="93">
        <v>862577.83200000005</v>
      </c>
      <c r="U434" s="19" t="s">
        <v>5702</v>
      </c>
      <c r="V434" s="19">
        <v>2534</v>
      </c>
      <c r="W434" s="115">
        <v>2381.7965300000001</v>
      </c>
      <c r="X434" s="115">
        <f t="shared" si="104"/>
        <v>6035472.4070199998</v>
      </c>
      <c r="Y434" s="261" t="s">
        <v>5098</v>
      </c>
      <c r="AI434" s="147">
        <v>143</v>
      </c>
      <c r="AJ434" s="147" t="s">
        <v>5348</v>
      </c>
      <c r="AK434" s="186">
        <v>400000</v>
      </c>
      <c r="AL434" s="147">
        <v>35</v>
      </c>
      <c r="AM434" s="147">
        <f t="shared" si="109"/>
        <v>392</v>
      </c>
      <c r="AN434" s="147">
        <f t="shared" si="110"/>
        <v>156800000</v>
      </c>
      <c r="AO434" s="147"/>
    </row>
    <row r="435" spans="18:46">
      <c r="R435" s="97" t="s">
        <v>5541</v>
      </c>
      <c r="S435" s="93">
        <v>920308.446</v>
      </c>
      <c r="U435" s="19" t="s">
        <v>5703</v>
      </c>
      <c r="V435" s="19">
        <v>424</v>
      </c>
      <c r="W435" s="115">
        <v>2321.9017680000002</v>
      </c>
      <c r="X435" s="115">
        <f t="shared" si="104"/>
        <v>984486.34963200008</v>
      </c>
      <c r="Y435" s="261" t="s">
        <v>5098</v>
      </c>
      <c r="AA435" t="s">
        <v>25</v>
      </c>
      <c r="AI435" s="20">
        <v>144</v>
      </c>
      <c r="AJ435" s="20" t="s">
        <v>5382</v>
      </c>
      <c r="AK435" s="115">
        <v>3000000</v>
      </c>
      <c r="AL435" s="20">
        <v>0</v>
      </c>
      <c r="AM435" s="20">
        <f t="shared" si="109"/>
        <v>357</v>
      </c>
      <c r="AN435" s="20">
        <f t="shared" si="110"/>
        <v>1071000000</v>
      </c>
      <c r="AO435" s="20"/>
      <c r="AR435" t="s">
        <v>25</v>
      </c>
    </row>
    <row r="436" spans="18:46">
      <c r="R436" s="97" t="s">
        <v>5543</v>
      </c>
      <c r="S436" s="93">
        <v>4635809.8416840006</v>
      </c>
      <c r="U436" s="187" t="s">
        <v>5704</v>
      </c>
      <c r="V436" s="187">
        <v>-32</v>
      </c>
      <c r="W436" s="186">
        <v>2221.2123710000001</v>
      </c>
      <c r="X436" s="186">
        <f t="shared" si="104"/>
        <v>-71078.795872000002</v>
      </c>
      <c r="Y436" s="260" t="s">
        <v>5707</v>
      </c>
      <c r="AI436" s="147">
        <v>145</v>
      </c>
      <c r="AJ436" s="147" t="s">
        <v>5382</v>
      </c>
      <c r="AK436" s="186">
        <v>2725000</v>
      </c>
      <c r="AL436" s="147">
        <v>19</v>
      </c>
      <c r="AM436" s="147">
        <f t="shared" ref="AM436:AM439" si="111">AL436+AM437</f>
        <v>357</v>
      </c>
      <c r="AN436" s="147">
        <f t="shared" ref="AN436:AN439" si="112">AK436*AM436</f>
        <v>972825000</v>
      </c>
      <c r="AO436" s="147"/>
    </row>
    <row r="437" spans="18:46">
      <c r="R437" s="97" t="s">
        <v>5571</v>
      </c>
      <c r="S437" s="93">
        <v>288892.40000000002</v>
      </c>
      <c r="U437" s="19" t="s">
        <v>5704</v>
      </c>
      <c r="V437" s="19">
        <v>157</v>
      </c>
      <c r="W437" s="115">
        <v>2221.2123710000001</v>
      </c>
      <c r="X437" s="115">
        <f t="shared" si="104"/>
        <v>348730.34224700002</v>
      </c>
      <c r="Y437" s="261" t="s">
        <v>5708</v>
      </c>
      <c r="AI437" s="147">
        <v>146</v>
      </c>
      <c r="AJ437" s="147" t="s">
        <v>5281</v>
      </c>
      <c r="AK437" s="186">
        <v>-8644090</v>
      </c>
      <c r="AL437" s="147">
        <v>0</v>
      </c>
      <c r="AM437" s="147">
        <f t="shared" si="111"/>
        <v>338</v>
      </c>
      <c r="AN437" s="147">
        <f t="shared" si="112"/>
        <v>-2921702420</v>
      </c>
      <c r="AO437" s="147" t="s">
        <v>4727</v>
      </c>
    </row>
    <row r="438" spans="18:46">
      <c r="R438" s="97" t="s">
        <v>5572</v>
      </c>
      <c r="S438" s="93">
        <v>58508002.009000003</v>
      </c>
      <c r="T438" t="s">
        <v>25</v>
      </c>
      <c r="U438" s="19" t="s">
        <v>5704</v>
      </c>
      <c r="V438" s="19">
        <v>965</v>
      </c>
      <c r="W438" s="115">
        <v>2221.2123710000001</v>
      </c>
      <c r="X438" s="115">
        <f t="shared" si="104"/>
        <v>2143469.938015</v>
      </c>
      <c r="Y438" s="261" t="s">
        <v>5098</v>
      </c>
      <c r="AI438" s="20">
        <v>147</v>
      </c>
      <c r="AJ438" s="20" t="s">
        <v>5281</v>
      </c>
      <c r="AK438" s="115">
        <v>-65461942</v>
      </c>
      <c r="AL438" s="20">
        <v>1</v>
      </c>
      <c r="AM438" s="20">
        <f t="shared" si="111"/>
        <v>338</v>
      </c>
      <c r="AN438" s="20">
        <f t="shared" si="112"/>
        <v>-22126136396</v>
      </c>
      <c r="AO438" s="20" t="s">
        <v>4727</v>
      </c>
    </row>
    <row r="439" spans="18:46">
      <c r="R439" s="97" t="s">
        <v>5574</v>
      </c>
      <c r="S439" s="93">
        <v>2245515.5410799999</v>
      </c>
      <c r="U439" s="187" t="s">
        <v>5710</v>
      </c>
      <c r="V439" s="187">
        <v>596</v>
      </c>
      <c r="W439" s="186">
        <v>2180.6765719999999</v>
      </c>
      <c r="X439" s="186">
        <f t="shared" si="104"/>
        <v>1299683.236912</v>
      </c>
      <c r="Y439" s="260" t="s">
        <v>1069</v>
      </c>
      <c r="Z439" t="s">
        <v>25</v>
      </c>
      <c r="AI439" s="20">
        <v>148</v>
      </c>
      <c r="AJ439" s="20" t="s">
        <v>5404</v>
      </c>
      <c r="AK439" s="115">
        <v>35000000</v>
      </c>
      <c r="AL439" s="20">
        <v>15</v>
      </c>
      <c r="AM439" s="20">
        <f t="shared" si="111"/>
        <v>337</v>
      </c>
      <c r="AN439" s="20">
        <f t="shared" si="112"/>
        <v>11795000000</v>
      </c>
      <c r="AO439" s="20"/>
      <c r="AT439" t="s">
        <v>25</v>
      </c>
    </row>
    <row r="440" spans="18:46">
      <c r="R440" s="97" t="s">
        <v>5574</v>
      </c>
      <c r="S440" s="93">
        <v>18404699.3442</v>
      </c>
      <c r="U440" s="19" t="s">
        <v>5714</v>
      </c>
      <c r="V440" s="19">
        <v>1355</v>
      </c>
      <c r="W440" s="115">
        <v>2277.0926330000002</v>
      </c>
      <c r="X440" s="115">
        <f t="shared" si="104"/>
        <v>3085460.5177150001</v>
      </c>
      <c r="Y440" s="261" t="s">
        <v>5098</v>
      </c>
      <c r="AI440" s="147">
        <v>149</v>
      </c>
      <c r="AJ440" s="147" t="s">
        <v>5423</v>
      </c>
      <c r="AK440" s="186">
        <v>1400000</v>
      </c>
      <c r="AL440" s="147">
        <v>0</v>
      </c>
      <c r="AM440" s="147">
        <f t="shared" ref="AM440:AM442" si="113">AL440+AM441</f>
        <v>322</v>
      </c>
      <c r="AN440" s="147">
        <f t="shared" ref="AN440:AN443" si="114">AK440*AM440</f>
        <v>450800000</v>
      </c>
      <c r="AO440" s="147"/>
    </row>
    <row r="441" spans="18:46">
      <c r="R441" s="97" t="s">
        <v>5577</v>
      </c>
      <c r="S441" s="93">
        <v>48684800</v>
      </c>
      <c r="U441" s="19" t="s">
        <v>5715</v>
      </c>
      <c r="V441" s="19">
        <v>3742</v>
      </c>
      <c r="W441" s="115">
        <v>2207.7650429999999</v>
      </c>
      <c r="X441" s="115">
        <f t="shared" si="104"/>
        <v>8261456.790906</v>
      </c>
      <c r="Y441" s="261" t="s">
        <v>5098</v>
      </c>
      <c r="Z441" t="s">
        <v>25</v>
      </c>
      <c r="AI441" s="20">
        <v>150</v>
      </c>
      <c r="AJ441" s="20" t="s">
        <v>5423</v>
      </c>
      <c r="AK441" s="115">
        <v>1600000</v>
      </c>
      <c r="AL441" s="20">
        <v>1</v>
      </c>
      <c r="AM441" s="20">
        <f t="shared" si="113"/>
        <v>322</v>
      </c>
      <c r="AN441" s="20">
        <f t="shared" si="114"/>
        <v>515200000</v>
      </c>
      <c r="AO441" s="20"/>
    </row>
    <row r="442" spans="18:46">
      <c r="R442" s="97" t="s">
        <v>5579</v>
      </c>
      <c r="S442" s="93">
        <v>2264658.5922190002</v>
      </c>
      <c r="U442" s="19" t="s">
        <v>5716</v>
      </c>
      <c r="V442" s="19">
        <v>3216</v>
      </c>
      <c r="W442" s="115">
        <v>2043.648557</v>
      </c>
      <c r="X442" s="115">
        <f t="shared" si="104"/>
        <v>6572373.7593120001</v>
      </c>
      <c r="Y442" s="261" t="s">
        <v>5098</v>
      </c>
      <c r="AI442" s="147">
        <v>151</v>
      </c>
      <c r="AJ442" s="147" t="s">
        <v>5426</v>
      </c>
      <c r="AK442" s="186">
        <v>600000</v>
      </c>
      <c r="AL442" s="147">
        <v>0</v>
      </c>
      <c r="AM442" s="147">
        <f t="shared" si="113"/>
        <v>321</v>
      </c>
      <c r="AN442" s="147">
        <f t="shared" si="114"/>
        <v>192600000</v>
      </c>
      <c r="AO442" s="147" t="s">
        <v>5428</v>
      </c>
    </row>
    <row r="443" spans="18:46">
      <c r="R443" s="97" t="s">
        <v>5582</v>
      </c>
      <c r="S443" s="93">
        <v>22877413.789960001</v>
      </c>
      <c r="U443" s="187" t="s">
        <v>5718</v>
      </c>
      <c r="V443" s="187">
        <v>42393</v>
      </c>
      <c r="W443" s="186">
        <v>2124.4852740000001</v>
      </c>
      <c r="X443" s="186">
        <f t="shared" si="104"/>
        <v>90063304.22068201</v>
      </c>
      <c r="Y443" s="260" t="s">
        <v>5719</v>
      </c>
      <c r="Z443" t="s">
        <v>25</v>
      </c>
      <c r="AI443" s="20">
        <v>152</v>
      </c>
      <c r="AJ443" s="20" t="s">
        <v>5426</v>
      </c>
      <c r="AK443" s="115">
        <v>600000</v>
      </c>
      <c r="AL443" s="20">
        <v>9</v>
      </c>
      <c r="AM443" s="20">
        <f>AL443+AM444</f>
        <v>321</v>
      </c>
      <c r="AN443" s="20">
        <f t="shared" si="114"/>
        <v>192600000</v>
      </c>
      <c r="AO443" s="20" t="s">
        <v>5428</v>
      </c>
    </row>
    <row r="444" spans="18:46">
      <c r="R444" s="97" t="s">
        <v>5583</v>
      </c>
      <c r="S444" s="93">
        <v>2362539.4373280001</v>
      </c>
      <c r="U444" s="19" t="s">
        <v>5720</v>
      </c>
      <c r="V444" s="19">
        <v>1307</v>
      </c>
      <c r="W444" s="115">
        <v>2213.652313</v>
      </c>
      <c r="X444" s="115">
        <f t="shared" si="104"/>
        <v>2893243.5730909999</v>
      </c>
      <c r="Y444" s="261" t="s">
        <v>5098</v>
      </c>
      <c r="AI444" s="20">
        <v>153</v>
      </c>
      <c r="AJ444" s="20" t="s">
        <v>5441</v>
      </c>
      <c r="AK444" s="115">
        <v>20000000</v>
      </c>
      <c r="AL444" s="20">
        <v>23</v>
      </c>
      <c r="AM444" s="20">
        <f t="shared" ref="AM444:AM445" si="115">AL444+AM445</f>
        <v>312</v>
      </c>
      <c r="AN444" s="20">
        <f t="shared" ref="AN444:AN446" si="116">AK444*AM444</f>
        <v>6240000000</v>
      </c>
      <c r="AO444" s="20" t="s">
        <v>5456</v>
      </c>
      <c r="AS444" t="s">
        <v>25</v>
      </c>
    </row>
    <row r="445" spans="18:46">
      <c r="R445" s="97" t="s">
        <v>5584</v>
      </c>
      <c r="S445" s="93">
        <v>16042676.656608</v>
      </c>
      <c r="U445" s="19" t="s">
        <v>5721</v>
      </c>
      <c r="V445" s="19">
        <v>44079</v>
      </c>
      <c r="W445" s="115">
        <v>2155.0411519999998</v>
      </c>
      <c r="X445" s="115">
        <f t="shared" si="104"/>
        <v>94992058.939007998</v>
      </c>
      <c r="Y445" s="261" t="s">
        <v>5098</v>
      </c>
      <c r="Z445" t="s">
        <v>25</v>
      </c>
      <c r="AA445" t="s">
        <v>25</v>
      </c>
      <c r="AI445" s="20">
        <v>154</v>
      </c>
      <c r="AJ445" s="20" t="s">
        <v>5476</v>
      </c>
      <c r="AK445" s="115">
        <v>-46183500</v>
      </c>
      <c r="AL445" s="20">
        <v>0</v>
      </c>
      <c r="AM445" s="20">
        <f t="shared" si="115"/>
        <v>289</v>
      </c>
      <c r="AN445" s="20">
        <f t="shared" si="116"/>
        <v>-13347031500</v>
      </c>
      <c r="AO445" s="20" t="s">
        <v>4849</v>
      </c>
    </row>
    <row r="446" spans="18:46">
      <c r="R446" s="97" t="s">
        <v>5587</v>
      </c>
      <c r="S446" s="93">
        <v>18403291.448284</v>
      </c>
      <c r="U446" s="19" t="s">
        <v>5726</v>
      </c>
      <c r="V446" s="19">
        <v>131</v>
      </c>
      <c r="W446" s="115">
        <v>2099.4040150000001</v>
      </c>
      <c r="X446" s="115">
        <f t="shared" si="104"/>
        <v>275021.925965</v>
      </c>
      <c r="Y446" s="261" t="s">
        <v>5098</v>
      </c>
      <c r="Z446" t="s">
        <v>25</v>
      </c>
      <c r="AI446" s="147">
        <v>155</v>
      </c>
      <c r="AJ446" s="147" t="s">
        <v>5476</v>
      </c>
      <c r="AK446" s="186">
        <v>-1812800</v>
      </c>
      <c r="AL446" s="147">
        <v>2</v>
      </c>
      <c r="AM446" s="147">
        <f>AL446+AM447</f>
        <v>289</v>
      </c>
      <c r="AN446" s="147">
        <f t="shared" si="116"/>
        <v>-523899200</v>
      </c>
      <c r="AO446" s="147" t="s">
        <v>4849</v>
      </c>
      <c r="AR446" t="s">
        <v>25</v>
      </c>
    </row>
    <row r="447" spans="18:46">
      <c r="R447" s="97" t="s">
        <v>5588</v>
      </c>
      <c r="S447" s="93">
        <v>10561447.246918</v>
      </c>
      <c r="U447" s="19" t="s">
        <v>5731</v>
      </c>
      <c r="V447" s="19">
        <v>162</v>
      </c>
      <c r="W447" s="115">
        <v>2021.3081500000001</v>
      </c>
      <c r="X447" s="115">
        <f t="shared" si="104"/>
        <v>327451.9203</v>
      </c>
      <c r="Y447" s="261" t="s">
        <v>5098</v>
      </c>
      <c r="AA447" t="s">
        <v>25</v>
      </c>
      <c r="AI447" s="20">
        <v>156</v>
      </c>
      <c r="AJ447" s="20" t="s">
        <v>5480</v>
      </c>
      <c r="AK447" s="115">
        <v>90000</v>
      </c>
      <c r="AL447" s="20">
        <v>0</v>
      </c>
      <c r="AM447" s="20">
        <f t="shared" ref="AM447:AM461" si="117">AL447+AM448</f>
        <v>287</v>
      </c>
      <c r="AN447" s="20">
        <f t="shared" ref="AN447:AN461" si="118">AK447*AM447</f>
        <v>25830000</v>
      </c>
      <c r="AO447" s="20"/>
    </row>
    <row r="448" spans="18:46">
      <c r="R448" s="97" t="s">
        <v>5589</v>
      </c>
      <c r="S448" s="93">
        <v>1226811.9176660001</v>
      </c>
      <c r="U448" s="19" t="s">
        <v>5741</v>
      </c>
      <c r="V448" s="19">
        <v>131</v>
      </c>
      <c r="W448" s="115">
        <v>1985.358328</v>
      </c>
      <c r="X448" s="115">
        <f t="shared" si="104"/>
        <v>260081.94096800001</v>
      </c>
      <c r="Y448" s="261" t="s">
        <v>5098</v>
      </c>
      <c r="AA448" t="s">
        <v>25</v>
      </c>
      <c r="AI448" s="147">
        <v>157</v>
      </c>
      <c r="AJ448" s="147" t="s">
        <v>5480</v>
      </c>
      <c r="AK448" s="186">
        <v>60000</v>
      </c>
      <c r="AL448" s="147">
        <v>5</v>
      </c>
      <c r="AM448" s="147">
        <f t="shared" si="117"/>
        <v>287</v>
      </c>
      <c r="AN448" s="147">
        <f t="shared" si="118"/>
        <v>17220000</v>
      </c>
      <c r="AO448" s="147"/>
    </row>
    <row r="449" spans="18:45">
      <c r="R449" s="97" t="s">
        <v>5594</v>
      </c>
      <c r="S449" s="93">
        <v>39373959.190266006</v>
      </c>
      <c r="U449" s="19" t="s">
        <v>5749</v>
      </c>
      <c r="V449" s="19">
        <v>1449</v>
      </c>
      <c r="W449" s="115">
        <v>2007.787806</v>
      </c>
      <c r="X449" s="115">
        <f t="shared" si="104"/>
        <v>2909284.5308940001</v>
      </c>
      <c r="Y449" s="261" t="s">
        <v>5098</v>
      </c>
      <c r="AA449" t="s">
        <v>25</v>
      </c>
      <c r="AI449" s="20">
        <v>158</v>
      </c>
      <c r="AJ449" s="20" t="s">
        <v>5485</v>
      </c>
      <c r="AK449" s="115">
        <v>50000000</v>
      </c>
      <c r="AL449" s="20">
        <v>29</v>
      </c>
      <c r="AM449" s="20">
        <f t="shared" si="117"/>
        <v>282</v>
      </c>
      <c r="AN449" s="20">
        <f t="shared" si="118"/>
        <v>14100000000</v>
      </c>
      <c r="AO449" s="20" t="s">
        <v>5487</v>
      </c>
      <c r="AS449" t="s">
        <v>25</v>
      </c>
    </row>
    <row r="450" spans="18:45">
      <c r="R450" s="97" t="s">
        <v>5595</v>
      </c>
      <c r="S450" s="93">
        <v>27703487.063980002</v>
      </c>
      <c r="U450" s="19" t="s">
        <v>5750</v>
      </c>
      <c r="V450" s="19">
        <v>19028</v>
      </c>
      <c r="W450" s="115">
        <v>1982.5102529999999</v>
      </c>
      <c r="X450" s="115">
        <f t="shared" si="104"/>
        <v>37723205.094084002</v>
      </c>
      <c r="Y450" s="261" t="s">
        <v>5098</v>
      </c>
      <c r="Z450" t="s">
        <v>25</v>
      </c>
      <c r="AA450" t="s">
        <v>25</v>
      </c>
      <c r="AI450" s="20">
        <v>159</v>
      </c>
      <c r="AJ450" s="20" t="s">
        <v>5543</v>
      </c>
      <c r="AK450" s="115">
        <v>100000</v>
      </c>
      <c r="AL450" s="20">
        <v>1</v>
      </c>
      <c r="AM450" s="20">
        <f t="shared" si="117"/>
        <v>253</v>
      </c>
      <c r="AN450" s="20">
        <f t="shared" si="118"/>
        <v>25300000</v>
      </c>
      <c r="AO450" s="20"/>
    </row>
    <row r="451" spans="18:45">
      <c r="R451" s="97" t="s">
        <v>4182</v>
      </c>
      <c r="S451" s="93">
        <v>8738896.6890719999</v>
      </c>
      <c r="U451" s="19" t="s">
        <v>5751</v>
      </c>
      <c r="V451" s="19">
        <v>848</v>
      </c>
      <c r="W451" s="115">
        <v>1768.97966</v>
      </c>
      <c r="X451" s="115">
        <f t="shared" si="104"/>
        <v>1500094.75168</v>
      </c>
      <c r="Y451" s="261" t="s">
        <v>5098</v>
      </c>
      <c r="AG451" s="94" t="s">
        <v>25</v>
      </c>
      <c r="AI451" s="147">
        <v>160</v>
      </c>
      <c r="AJ451" s="147" t="s">
        <v>5532</v>
      </c>
      <c r="AK451" s="186">
        <v>150000</v>
      </c>
      <c r="AL451" s="147">
        <v>0</v>
      </c>
      <c r="AM451" s="147">
        <f t="shared" si="117"/>
        <v>252</v>
      </c>
      <c r="AN451" s="147">
        <f t="shared" si="118"/>
        <v>37800000</v>
      </c>
      <c r="AO451" s="147"/>
    </row>
    <row r="452" spans="18:45">
      <c r="R452" s="97" t="s">
        <v>5597</v>
      </c>
      <c r="S452" s="93">
        <v>348201.66738</v>
      </c>
      <c r="U452" s="19" t="s">
        <v>5752</v>
      </c>
      <c r="V452" s="19">
        <v>3824</v>
      </c>
      <c r="W452" s="115">
        <v>1890.8547169999999</v>
      </c>
      <c r="X452" s="115">
        <f t="shared" si="104"/>
        <v>7230628.4378079996</v>
      </c>
      <c r="Y452" s="261" t="s">
        <v>5098</v>
      </c>
      <c r="AI452" s="20">
        <v>161</v>
      </c>
      <c r="AJ452" s="20" t="s">
        <v>5532</v>
      </c>
      <c r="AK452" s="115">
        <v>-683050</v>
      </c>
      <c r="AL452" s="20">
        <v>7</v>
      </c>
      <c r="AM452" s="20">
        <f t="shared" si="117"/>
        <v>252</v>
      </c>
      <c r="AN452" s="20">
        <f t="shared" si="118"/>
        <v>-172128600</v>
      </c>
      <c r="AO452" s="20" t="s">
        <v>5546</v>
      </c>
    </row>
    <row r="453" spans="18:45">
      <c r="R453" s="97" t="s">
        <v>5601</v>
      </c>
      <c r="S453" s="93">
        <v>4158090.8935679998</v>
      </c>
      <c r="U453" s="19" t="s">
        <v>5754</v>
      </c>
      <c r="V453" s="19">
        <v>14010</v>
      </c>
      <c r="W453" s="115">
        <v>2124.7244390000001</v>
      </c>
      <c r="X453" s="115">
        <f t="shared" si="104"/>
        <v>29767389.390390001</v>
      </c>
      <c r="Y453" s="261" t="s">
        <v>5098</v>
      </c>
      <c r="AI453" s="147">
        <v>162</v>
      </c>
      <c r="AJ453" s="147" t="s">
        <v>5554</v>
      </c>
      <c r="AK453" s="186">
        <v>200000</v>
      </c>
      <c r="AL453" s="147">
        <v>7</v>
      </c>
      <c r="AM453" s="147">
        <f t="shared" si="117"/>
        <v>245</v>
      </c>
      <c r="AN453" s="147">
        <f t="shared" si="118"/>
        <v>49000000</v>
      </c>
      <c r="AO453" s="147"/>
    </row>
    <row r="454" spans="18:45">
      <c r="R454" s="97" t="s">
        <v>5598</v>
      </c>
      <c r="S454" s="93">
        <v>110770524.97879399</v>
      </c>
      <c r="U454" s="19" t="s">
        <v>5755</v>
      </c>
      <c r="V454" s="19">
        <v>73</v>
      </c>
      <c r="W454" s="115">
        <v>2076.1678900000002</v>
      </c>
      <c r="X454" s="115">
        <f t="shared" si="104"/>
        <v>151560.25597</v>
      </c>
      <c r="Y454" s="261" t="s">
        <v>5098</v>
      </c>
      <c r="AB454" t="s">
        <v>25</v>
      </c>
      <c r="AI454" s="147">
        <v>163</v>
      </c>
      <c r="AJ454" s="147" t="s">
        <v>5559</v>
      </c>
      <c r="AK454" s="186">
        <v>150000</v>
      </c>
      <c r="AL454" s="147">
        <v>5</v>
      </c>
      <c r="AM454" s="147">
        <f t="shared" si="117"/>
        <v>238</v>
      </c>
      <c r="AN454" s="147">
        <f t="shared" si="118"/>
        <v>35700000</v>
      </c>
      <c r="AO454" s="147"/>
    </row>
    <row r="455" spans="18:45">
      <c r="R455" s="97" t="s">
        <v>5601</v>
      </c>
      <c r="S455" s="93">
        <v>17900000</v>
      </c>
      <c r="U455" s="19" t="s">
        <v>5757</v>
      </c>
      <c r="V455" s="19">
        <v>236</v>
      </c>
      <c r="W455" s="115">
        <v>2039.4867830000001</v>
      </c>
      <c r="X455" s="115">
        <f t="shared" si="104"/>
        <v>481318.88078800001</v>
      </c>
      <c r="Y455" s="261" t="s">
        <v>5098</v>
      </c>
      <c r="AI455" s="20">
        <v>164</v>
      </c>
      <c r="AJ455" s="20" t="s">
        <v>5562</v>
      </c>
      <c r="AK455" s="115">
        <v>320000</v>
      </c>
      <c r="AL455" s="20">
        <v>2</v>
      </c>
      <c r="AM455" s="20">
        <f t="shared" si="117"/>
        <v>233</v>
      </c>
      <c r="AN455" s="20">
        <f t="shared" si="118"/>
        <v>74560000</v>
      </c>
      <c r="AO455" s="20"/>
    </row>
    <row r="456" spans="18:45">
      <c r="R456" s="97" t="s">
        <v>5613</v>
      </c>
      <c r="S456" s="93">
        <v>12114824.927374</v>
      </c>
      <c r="U456" s="19" t="s">
        <v>5760</v>
      </c>
      <c r="V456" s="19">
        <v>75</v>
      </c>
      <c r="W456" s="115">
        <v>1950.3675760000001</v>
      </c>
      <c r="X456" s="115">
        <f t="shared" si="104"/>
        <v>146277.56820000001</v>
      </c>
      <c r="Y456" s="261" t="s">
        <v>5098</v>
      </c>
      <c r="AI456" s="20">
        <v>165</v>
      </c>
      <c r="AJ456" s="20" t="s">
        <v>5563</v>
      </c>
      <c r="AK456" s="115">
        <v>200000</v>
      </c>
      <c r="AL456" s="20">
        <v>29</v>
      </c>
      <c r="AM456" s="20">
        <f t="shared" si="117"/>
        <v>231</v>
      </c>
      <c r="AN456" s="20">
        <f t="shared" si="118"/>
        <v>46200000</v>
      </c>
      <c r="AO456" s="20"/>
    </row>
    <row r="457" spans="18:45">
      <c r="R457" s="97" t="s">
        <v>5616</v>
      </c>
      <c r="S457" s="93">
        <v>6684147.0064600008</v>
      </c>
      <c r="U457" s="19" t="s">
        <v>5772</v>
      </c>
      <c r="V457" s="19">
        <v>232</v>
      </c>
      <c r="W457" s="115">
        <v>1830.5750069999999</v>
      </c>
      <c r="X457" s="115">
        <f t="shared" si="104"/>
        <v>424693.40162399999</v>
      </c>
      <c r="Y457" s="261" t="s">
        <v>5098</v>
      </c>
      <c r="Z457" t="s">
        <v>25</v>
      </c>
      <c r="AI457" s="20">
        <v>166</v>
      </c>
      <c r="AJ457" s="20" t="s">
        <v>5598</v>
      </c>
      <c r="AK457" s="115">
        <v>4200000</v>
      </c>
      <c r="AL457" s="20">
        <v>0</v>
      </c>
      <c r="AM457" s="20">
        <f t="shared" si="117"/>
        <v>202</v>
      </c>
      <c r="AN457" s="20">
        <f t="shared" si="118"/>
        <v>848400000</v>
      </c>
      <c r="AO457" s="20"/>
    </row>
    <row r="458" spans="18:45">
      <c r="R458" s="97" t="s">
        <v>5620</v>
      </c>
      <c r="S458" s="93">
        <v>1826535.2307560001</v>
      </c>
      <c r="U458" s="19" t="s">
        <v>5775</v>
      </c>
      <c r="V458" s="19">
        <v>308</v>
      </c>
      <c r="W458" s="115">
        <v>1812.728578</v>
      </c>
      <c r="X458" s="115">
        <f t="shared" si="104"/>
        <v>558320.40202399995</v>
      </c>
      <c r="Y458" s="261" t="s">
        <v>5098</v>
      </c>
      <c r="Z458" t="s">
        <v>25</v>
      </c>
      <c r="AI458" s="147">
        <v>167</v>
      </c>
      <c r="AJ458" s="147" t="s">
        <v>5598</v>
      </c>
      <c r="AK458" s="186">
        <v>3300000</v>
      </c>
      <c r="AL458" s="147">
        <v>11</v>
      </c>
      <c r="AM458" s="147">
        <f t="shared" si="117"/>
        <v>202</v>
      </c>
      <c r="AN458" s="147">
        <f t="shared" si="118"/>
        <v>666600000</v>
      </c>
      <c r="AO458" s="147"/>
    </row>
    <row r="459" spans="18:45">
      <c r="R459" s="97" t="s">
        <v>5622</v>
      </c>
      <c r="S459" s="93">
        <v>3577366.94</v>
      </c>
      <c r="U459" s="19" t="s">
        <v>5777</v>
      </c>
      <c r="V459" s="19">
        <v>106</v>
      </c>
      <c r="W459" s="115">
        <v>1958.8888869</v>
      </c>
      <c r="X459" s="115">
        <f t="shared" si="104"/>
        <v>207642.22201140001</v>
      </c>
      <c r="Y459" s="261" t="s">
        <v>5098</v>
      </c>
      <c r="AI459" s="147">
        <v>168</v>
      </c>
      <c r="AJ459" s="147" t="s">
        <v>5622</v>
      </c>
      <c r="AK459" s="186">
        <v>-1500000</v>
      </c>
      <c r="AL459" s="147">
        <v>42</v>
      </c>
      <c r="AM459" s="147">
        <f t="shared" si="117"/>
        <v>191</v>
      </c>
      <c r="AN459" s="147">
        <f t="shared" si="118"/>
        <v>-286500000</v>
      </c>
      <c r="AO459" s="147"/>
    </row>
    <row r="460" spans="18:45">
      <c r="R460" s="97" t="s">
        <v>5625</v>
      </c>
      <c r="S460" s="93">
        <v>21239029.173567999</v>
      </c>
      <c r="U460" s="19" t="s">
        <v>5799</v>
      </c>
      <c r="V460" s="19">
        <v>17050</v>
      </c>
      <c r="W460" s="115">
        <v>1984.311475</v>
      </c>
      <c r="X460" s="115">
        <f t="shared" si="104"/>
        <v>33832510.64875</v>
      </c>
      <c r="Y460" s="261" t="s">
        <v>5801</v>
      </c>
      <c r="Z460" t="s">
        <v>25</v>
      </c>
      <c r="AB460" t="s">
        <v>25</v>
      </c>
      <c r="AI460" s="20">
        <v>169</v>
      </c>
      <c r="AJ460" s="20" t="s">
        <v>5668</v>
      </c>
      <c r="AK460" s="115">
        <v>260000</v>
      </c>
      <c r="AL460" s="20">
        <v>22</v>
      </c>
      <c r="AM460" s="20">
        <f t="shared" si="117"/>
        <v>149</v>
      </c>
      <c r="AN460" s="20">
        <f t="shared" si="118"/>
        <v>38740000</v>
      </c>
      <c r="AO460" s="20"/>
    </row>
    <row r="461" spans="18:45">
      <c r="R461" s="97" t="s">
        <v>5630</v>
      </c>
      <c r="S461" s="93">
        <v>242957252.40163299</v>
      </c>
      <c r="U461" s="19" t="s">
        <v>5799</v>
      </c>
      <c r="V461" s="19">
        <v>17050</v>
      </c>
      <c r="W461" s="115">
        <v>1984.311475</v>
      </c>
      <c r="X461" s="115">
        <f t="shared" si="104"/>
        <v>33832510.64875</v>
      </c>
      <c r="Y461" s="261" t="s">
        <v>5802</v>
      </c>
      <c r="Z461" t="s">
        <v>25</v>
      </c>
      <c r="AI461" s="20">
        <v>170</v>
      </c>
      <c r="AJ461" s="20" t="s">
        <v>5696</v>
      </c>
      <c r="AK461" s="115">
        <v>20000</v>
      </c>
      <c r="AL461" s="20">
        <v>0</v>
      </c>
      <c r="AM461" s="20">
        <f t="shared" si="117"/>
        <v>127</v>
      </c>
      <c r="AN461" s="20">
        <f t="shared" si="118"/>
        <v>2540000</v>
      </c>
      <c r="AO461" s="20"/>
    </row>
    <row r="462" spans="18:45">
      <c r="R462" s="97" t="s">
        <v>5631</v>
      </c>
      <c r="S462" s="93">
        <v>7357181.2750800001</v>
      </c>
      <c r="U462" s="19" t="s">
        <v>5804</v>
      </c>
      <c r="V462" s="19">
        <v>9659</v>
      </c>
      <c r="W462" s="115">
        <v>2073.8685089999999</v>
      </c>
      <c r="X462" s="115">
        <f t="shared" si="104"/>
        <v>20031495.928431001</v>
      </c>
      <c r="Y462" s="261" t="s">
        <v>5805</v>
      </c>
      <c r="Z462" t="s">
        <v>25</v>
      </c>
      <c r="AI462" s="192">
        <v>171</v>
      </c>
      <c r="AJ462" s="192" t="s">
        <v>5696</v>
      </c>
      <c r="AK462" s="193">
        <v>20000</v>
      </c>
      <c r="AL462" s="192">
        <v>7</v>
      </c>
      <c r="AM462" s="147">
        <f t="shared" ref="AM462:AM488" si="119">AL462+AM463</f>
        <v>127</v>
      </c>
      <c r="AN462" s="147">
        <f t="shared" ref="AN462:AN488" si="120">AK462*AM462</f>
        <v>2540000</v>
      </c>
      <c r="AO462" s="192"/>
    </row>
    <row r="463" spans="18:45">
      <c r="R463" s="97" t="s">
        <v>5635</v>
      </c>
      <c r="S463" s="93">
        <v>14951411.942400001</v>
      </c>
      <c r="U463" s="19" t="s">
        <v>5808</v>
      </c>
      <c r="V463" s="19">
        <v>323</v>
      </c>
      <c r="W463" s="115">
        <v>1975.162028</v>
      </c>
      <c r="X463" s="115">
        <f t="shared" si="104"/>
        <v>637977.33504399995</v>
      </c>
      <c r="Y463" s="261" t="s">
        <v>5098</v>
      </c>
      <c r="AI463" s="147">
        <v>172</v>
      </c>
      <c r="AJ463" s="147" t="s">
        <v>5704</v>
      </c>
      <c r="AK463" s="186">
        <v>70000</v>
      </c>
      <c r="AL463" s="147">
        <v>0</v>
      </c>
      <c r="AM463" s="147">
        <f t="shared" si="119"/>
        <v>120</v>
      </c>
      <c r="AN463" s="147">
        <f t="shared" si="120"/>
        <v>8400000</v>
      </c>
      <c r="AO463" s="147"/>
    </row>
    <row r="464" spans="18:45">
      <c r="R464" s="97" t="s">
        <v>5637</v>
      </c>
      <c r="S464" s="93">
        <v>47928209.377011999</v>
      </c>
      <c r="U464" s="19" t="s">
        <v>5809</v>
      </c>
      <c r="V464" s="19">
        <v>238</v>
      </c>
      <c r="W464" s="115">
        <v>1960.303598</v>
      </c>
      <c r="X464" s="115">
        <f t="shared" si="104"/>
        <v>466552.25632400002</v>
      </c>
      <c r="Y464" s="261" t="s">
        <v>5098</v>
      </c>
      <c r="AA464" t="s">
        <v>25</v>
      </c>
      <c r="AI464" s="20">
        <v>173</v>
      </c>
      <c r="AJ464" s="20" t="s">
        <v>5704</v>
      </c>
      <c r="AK464" s="115">
        <v>70000</v>
      </c>
      <c r="AL464" s="20">
        <v>1</v>
      </c>
      <c r="AM464" s="20">
        <f t="shared" si="119"/>
        <v>120</v>
      </c>
      <c r="AN464" s="20">
        <f t="shared" si="120"/>
        <v>8400000</v>
      </c>
      <c r="AO464" s="20"/>
      <c r="AS464" t="s">
        <v>25</v>
      </c>
    </row>
    <row r="465" spans="18:46">
      <c r="R465" s="97" t="s">
        <v>5639</v>
      </c>
      <c r="S465" s="93">
        <v>2281595.69937</v>
      </c>
      <c r="U465" s="19" t="s">
        <v>5810</v>
      </c>
      <c r="V465" s="19">
        <v>75</v>
      </c>
      <c r="W465" s="115">
        <v>1990.893174</v>
      </c>
      <c r="X465" s="115">
        <f t="shared" si="104"/>
        <v>149316.98805000001</v>
      </c>
      <c r="Y465" s="261" t="s">
        <v>5811</v>
      </c>
      <c r="AA465" t="s">
        <v>25</v>
      </c>
      <c r="AI465" s="20">
        <v>174</v>
      </c>
      <c r="AJ465" s="20" t="s">
        <v>5710</v>
      </c>
      <c r="AK465" s="115">
        <v>330000</v>
      </c>
      <c r="AL465" s="20">
        <v>0</v>
      </c>
      <c r="AM465" s="20">
        <f t="shared" si="119"/>
        <v>119</v>
      </c>
      <c r="AN465" s="20">
        <f t="shared" si="120"/>
        <v>39270000</v>
      </c>
      <c r="AO465" s="20"/>
      <c r="AS465" t="s">
        <v>25</v>
      </c>
    </row>
    <row r="466" spans="18:46">
      <c r="R466" s="97" t="s">
        <v>5640</v>
      </c>
      <c r="S466" s="93">
        <v>2964916.035069</v>
      </c>
      <c r="U466" s="19" t="s">
        <v>5810</v>
      </c>
      <c r="V466" s="19">
        <v>95</v>
      </c>
      <c r="W466" s="115">
        <v>1990.893174</v>
      </c>
      <c r="X466" s="115">
        <f t="shared" si="104"/>
        <v>189134.85153000001</v>
      </c>
      <c r="Y466" s="261" t="s">
        <v>5098</v>
      </c>
      <c r="AA466" t="s">
        <v>25</v>
      </c>
      <c r="AI466" s="147">
        <v>175</v>
      </c>
      <c r="AJ466" s="147" t="s">
        <v>5710</v>
      </c>
      <c r="AK466" s="186">
        <v>330000</v>
      </c>
      <c r="AL466" s="147">
        <v>10</v>
      </c>
      <c r="AM466" s="147">
        <f t="shared" ref="AM466:AM470" si="121">AL466+AM467</f>
        <v>119</v>
      </c>
      <c r="AN466" s="147">
        <f t="shared" ref="AN466:AN471" si="122">AK466*AM466</f>
        <v>39270000</v>
      </c>
      <c r="AO466" s="147"/>
    </row>
    <row r="467" spans="18:46">
      <c r="R467" s="97" t="s">
        <v>5642</v>
      </c>
      <c r="S467" s="93">
        <v>6460549.4269619994</v>
      </c>
      <c r="U467" s="19" t="s">
        <v>5812</v>
      </c>
      <c r="V467" s="19">
        <v>284</v>
      </c>
      <c r="W467" s="115">
        <v>1989.045169</v>
      </c>
      <c r="X467" s="115">
        <f t="shared" si="104"/>
        <v>564888.82799599995</v>
      </c>
      <c r="Y467" s="261" t="s">
        <v>5098</v>
      </c>
      <c r="AA467" t="s">
        <v>25</v>
      </c>
      <c r="AI467" s="147">
        <v>176</v>
      </c>
      <c r="AJ467" s="147" t="s">
        <v>5718</v>
      </c>
      <c r="AK467" s="186">
        <v>90000000</v>
      </c>
      <c r="AL467" s="147">
        <v>16</v>
      </c>
      <c r="AM467" s="147">
        <f t="shared" si="121"/>
        <v>109</v>
      </c>
      <c r="AN467" s="147">
        <f t="shared" si="122"/>
        <v>9810000000</v>
      </c>
      <c r="AO467" s="147"/>
      <c r="AT467" t="s">
        <v>25</v>
      </c>
    </row>
    <row r="468" spans="18:46" ht="30">
      <c r="R468" s="97" t="s">
        <v>5645</v>
      </c>
      <c r="S468" s="93">
        <v>5212319.8968359996</v>
      </c>
      <c r="U468" s="187" t="s">
        <v>5815</v>
      </c>
      <c r="V468" s="187">
        <v>11034</v>
      </c>
      <c r="W468" s="186">
        <v>1960.6845390000001</v>
      </c>
      <c r="X468" s="186">
        <f t="shared" si="104"/>
        <v>21634193.203326002</v>
      </c>
      <c r="Y468" s="260" t="s">
        <v>5819</v>
      </c>
      <c r="AA468" t="s">
        <v>25</v>
      </c>
      <c r="AI468" s="147">
        <v>177</v>
      </c>
      <c r="AJ468" s="147" t="s">
        <v>5739</v>
      </c>
      <c r="AK468" s="186">
        <v>-15000000</v>
      </c>
      <c r="AL468" s="147">
        <v>65</v>
      </c>
      <c r="AM468" s="147">
        <f t="shared" si="121"/>
        <v>93</v>
      </c>
      <c r="AN468" s="147">
        <f t="shared" si="122"/>
        <v>-1395000000</v>
      </c>
      <c r="AO468" s="147" t="s">
        <v>5740</v>
      </c>
    </row>
    <row r="469" spans="18:46" ht="30">
      <c r="R469" s="97" t="s">
        <v>5647</v>
      </c>
      <c r="S469" s="93">
        <v>4524496.4792809999</v>
      </c>
      <c r="U469" s="19" t="s">
        <v>5815</v>
      </c>
      <c r="V469" s="19">
        <v>4469</v>
      </c>
      <c r="W469" s="115">
        <v>1960.6845390000001</v>
      </c>
      <c r="X469" s="115">
        <f t="shared" si="104"/>
        <v>8762299.2047910001</v>
      </c>
      <c r="Y469" s="261" t="s">
        <v>5820</v>
      </c>
      <c r="AA469" t="s">
        <v>25</v>
      </c>
      <c r="AI469" s="147">
        <v>178</v>
      </c>
      <c r="AJ469" s="147" t="s">
        <v>5799</v>
      </c>
      <c r="AK469" s="186">
        <v>33833075</v>
      </c>
      <c r="AL469" s="147">
        <v>0</v>
      </c>
      <c r="AM469" s="147">
        <f t="shared" si="121"/>
        <v>28</v>
      </c>
      <c r="AN469" s="147">
        <f t="shared" si="122"/>
        <v>947326100</v>
      </c>
      <c r="AO469" s="147" t="s">
        <v>5803</v>
      </c>
    </row>
    <row r="470" spans="18:46">
      <c r="R470" s="97" t="s">
        <v>5649</v>
      </c>
      <c r="S470" s="93">
        <v>22866040.240959998</v>
      </c>
      <c r="U470" s="19" t="s">
        <v>5815</v>
      </c>
      <c r="V470" s="19">
        <v>-174834</v>
      </c>
      <c r="W470" s="115">
        <v>1955.271154</v>
      </c>
      <c r="X470" s="115">
        <f t="shared" si="104"/>
        <v>-341847876.93843603</v>
      </c>
      <c r="Y470" s="261" t="s">
        <v>5821</v>
      </c>
      <c r="AI470" s="20">
        <v>197</v>
      </c>
      <c r="AJ470" s="20" t="s">
        <v>5799</v>
      </c>
      <c r="AK470" s="115">
        <v>20033075</v>
      </c>
      <c r="AL470" s="20">
        <v>28</v>
      </c>
      <c r="AM470" s="20">
        <f t="shared" si="121"/>
        <v>28</v>
      </c>
      <c r="AN470" s="20">
        <f t="shared" si="122"/>
        <v>560926100</v>
      </c>
      <c r="AO470" s="20" t="s">
        <v>5803</v>
      </c>
    </row>
    <row r="471" spans="18:46">
      <c r="R471" s="97" t="s">
        <v>5651</v>
      </c>
      <c r="S471" s="93">
        <v>15359304.269892</v>
      </c>
      <c r="U471" s="19" t="s">
        <v>5815</v>
      </c>
      <c r="V471" s="19">
        <v>-78942</v>
      </c>
      <c r="W471" s="115">
        <v>1955.271154</v>
      </c>
      <c r="X471" s="115">
        <f t="shared" si="104"/>
        <v>-154353015.43906799</v>
      </c>
      <c r="Y471" s="261" t="s">
        <v>5822</v>
      </c>
      <c r="AA471" t="s">
        <v>25</v>
      </c>
      <c r="AI471" s="147">
        <v>198</v>
      </c>
      <c r="AJ471" s="147" t="s">
        <v>5815</v>
      </c>
      <c r="AK471" s="186">
        <v>-22520813.151772</v>
      </c>
      <c r="AL471" s="147">
        <v>0</v>
      </c>
      <c r="AM471" s="147">
        <f>AL471+AM487</f>
        <v>0</v>
      </c>
      <c r="AN471" s="147">
        <f t="shared" si="122"/>
        <v>0</v>
      </c>
      <c r="AO471" s="147" t="s">
        <v>5823</v>
      </c>
    </row>
    <row r="472" spans="18:46">
      <c r="R472" s="97" t="s">
        <v>5652</v>
      </c>
      <c r="S472" s="93">
        <v>2868508.1846330003</v>
      </c>
      <c r="U472" s="187" t="s">
        <v>5815</v>
      </c>
      <c r="V472" s="187">
        <v>-11518</v>
      </c>
      <c r="W472" s="186">
        <v>1955.271154</v>
      </c>
      <c r="X472" s="186">
        <f t="shared" si="104"/>
        <v>-22520813.151772</v>
      </c>
      <c r="Y472" s="260" t="s">
        <v>5823</v>
      </c>
      <c r="AB472" t="s">
        <v>25</v>
      </c>
      <c r="AI472" s="20">
        <v>199</v>
      </c>
      <c r="AJ472" s="20" t="s">
        <v>5815</v>
      </c>
      <c r="AK472" s="115">
        <v>-204353015</v>
      </c>
      <c r="AL472" s="20">
        <v>0</v>
      </c>
      <c r="AM472" s="20">
        <f t="shared" ref="AM472:AM487" si="123">AL472+AM473</f>
        <v>240</v>
      </c>
      <c r="AN472" s="20">
        <f t="shared" ref="AN472:AN487" si="124">AK472*AM472</f>
        <v>-49044723600</v>
      </c>
      <c r="AO472" s="20" t="s">
        <v>5824</v>
      </c>
    </row>
    <row r="473" spans="18:46">
      <c r="R473" s="97" t="s">
        <v>5653</v>
      </c>
      <c r="S473" s="93">
        <v>17450393.011856001</v>
      </c>
      <c r="U473" s="19" t="s">
        <v>5834</v>
      </c>
      <c r="V473" s="19">
        <v>8622</v>
      </c>
      <c r="W473" s="115">
        <v>1930.4022150000001</v>
      </c>
      <c r="X473" s="115">
        <f t="shared" si="104"/>
        <v>16643927.89773</v>
      </c>
      <c r="Y473" s="261" t="s">
        <v>743</v>
      </c>
      <c r="AA473" t="s">
        <v>25</v>
      </c>
      <c r="AI473" s="20">
        <v>200</v>
      </c>
      <c r="AJ473" s="20" t="s">
        <v>5815</v>
      </c>
      <c r="AK473" s="115">
        <v>50000000</v>
      </c>
      <c r="AL473" s="20">
        <v>1</v>
      </c>
      <c r="AM473" s="20">
        <f t="shared" si="123"/>
        <v>240</v>
      </c>
      <c r="AN473" s="20">
        <f t="shared" si="124"/>
        <v>12000000000</v>
      </c>
      <c r="AO473" s="20" t="s">
        <v>5825</v>
      </c>
    </row>
    <row r="474" spans="18:46">
      <c r="R474" s="97" t="s">
        <v>5654</v>
      </c>
      <c r="S474" s="93">
        <v>31388943.254850004</v>
      </c>
      <c r="U474" s="19" t="s">
        <v>5835</v>
      </c>
      <c r="V474" s="19">
        <v>17384</v>
      </c>
      <c r="W474" s="115">
        <v>1918.745255</v>
      </c>
      <c r="X474" s="115">
        <f t="shared" si="104"/>
        <v>33355467.51292</v>
      </c>
      <c r="Y474" s="261" t="s">
        <v>743</v>
      </c>
      <c r="Z474" t="s">
        <v>25</v>
      </c>
      <c r="AA474" t="s">
        <v>25</v>
      </c>
      <c r="AI474" s="20">
        <v>201</v>
      </c>
      <c r="AJ474" s="20" t="s">
        <v>5831</v>
      </c>
      <c r="AK474" s="115">
        <v>50000000</v>
      </c>
      <c r="AL474" s="20">
        <v>8</v>
      </c>
      <c r="AM474" s="20">
        <f t="shared" si="123"/>
        <v>239</v>
      </c>
      <c r="AN474" s="20">
        <f t="shared" si="124"/>
        <v>11950000000</v>
      </c>
      <c r="AO474" s="20" t="s">
        <v>5825</v>
      </c>
    </row>
    <row r="475" spans="18:46">
      <c r="R475" s="97" t="s">
        <v>5656</v>
      </c>
      <c r="S475" s="93">
        <v>30912095.373174001</v>
      </c>
      <c r="U475" s="19" t="s">
        <v>5847</v>
      </c>
      <c r="V475" s="19">
        <v>133</v>
      </c>
      <c r="W475" s="115">
        <v>1954.8389770000001</v>
      </c>
      <c r="X475" s="115">
        <f t="shared" si="104"/>
        <v>259993.58394100002</v>
      </c>
      <c r="Y475" s="261" t="s">
        <v>5098</v>
      </c>
      <c r="AB475" t="s">
        <v>25</v>
      </c>
      <c r="AI475" s="20">
        <v>202</v>
      </c>
      <c r="AJ475" s="20" t="s">
        <v>6378</v>
      </c>
      <c r="AK475" s="115">
        <v>30000000</v>
      </c>
      <c r="AL475" s="20">
        <v>2</v>
      </c>
      <c r="AM475" s="20">
        <f t="shared" si="123"/>
        <v>231</v>
      </c>
      <c r="AN475" s="20">
        <f t="shared" si="124"/>
        <v>6930000000</v>
      </c>
      <c r="AO475" s="20" t="s">
        <v>6379</v>
      </c>
    </row>
    <row r="476" spans="18:46">
      <c r="R476" s="97" t="s">
        <v>5660</v>
      </c>
      <c r="S476" s="93">
        <v>19602926.115093999</v>
      </c>
      <c r="U476" s="19" t="s">
        <v>5848</v>
      </c>
      <c r="V476" s="19">
        <v>140</v>
      </c>
      <c r="W476" s="115">
        <v>1928.2522289999999</v>
      </c>
      <c r="X476" s="115">
        <f t="shared" si="104"/>
        <v>269955.31205999997</v>
      </c>
      <c r="Y476" s="261" t="s">
        <v>5098</v>
      </c>
      <c r="Z476" t="s">
        <v>25</v>
      </c>
      <c r="AI476" s="147">
        <v>203</v>
      </c>
      <c r="AJ476" s="147" t="s">
        <v>6383</v>
      </c>
      <c r="AK476" s="186">
        <v>20000000</v>
      </c>
      <c r="AL476" s="147">
        <v>29</v>
      </c>
      <c r="AM476" s="147">
        <f t="shared" si="123"/>
        <v>229</v>
      </c>
      <c r="AN476" s="147">
        <f t="shared" si="124"/>
        <v>4580000000</v>
      </c>
      <c r="AO476" s="147" t="s">
        <v>6384</v>
      </c>
    </row>
    <row r="477" spans="18:46">
      <c r="R477" s="97" t="s">
        <v>5662</v>
      </c>
      <c r="S477" s="93">
        <v>34458590.308710001</v>
      </c>
      <c r="U477" s="19" t="s">
        <v>6380</v>
      </c>
      <c r="V477" s="19">
        <v>15839</v>
      </c>
      <c r="W477" s="115">
        <v>1893.9957079999999</v>
      </c>
      <c r="X477" s="115">
        <f t="shared" si="104"/>
        <v>29998998.019012</v>
      </c>
      <c r="Y477" s="261" t="s">
        <v>6379</v>
      </c>
      <c r="AA477" t="s">
        <v>25</v>
      </c>
      <c r="AB477" t="s">
        <v>25</v>
      </c>
      <c r="AI477" s="147">
        <v>204</v>
      </c>
      <c r="AJ477" s="147" t="s">
        <v>6410</v>
      </c>
      <c r="AK477" s="186">
        <v>-20000000</v>
      </c>
      <c r="AL477" s="147">
        <v>0</v>
      </c>
      <c r="AM477" s="147">
        <f t="shared" ref="AM477:AM483" si="125">AL477+AM478</f>
        <v>200</v>
      </c>
      <c r="AN477" s="147">
        <f t="shared" ref="AN477:AN483" si="126">AK477*AM477</f>
        <v>-4000000000</v>
      </c>
      <c r="AO477" s="147" t="s">
        <v>6411</v>
      </c>
    </row>
    <row r="478" spans="18:46">
      <c r="R478" s="97" t="s">
        <v>5664</v>
      </c>
      <c r="S478" s="93">
        <v>21697868.203256</v>
      </c>
      <c r="U478" s="19" t="s">
        <v>6383</v>
      </c>
      <c r="V478" s="19">
        <v>26601</v>
      </c>
      <c r="W478" s="115">
        <v>1880.082026</v>
      </c>
      <c r="X478" s="115">
        <f t="shared" si="104"/>
        <v>50012061.973626003</v>
      </c>
      <c r="Y478" s="261" t="s">
        <v>5336</v>
      </c>
      <c r="AI478" s="147">
        <v>205</v>
      </c>
      <c r="AJ478" s="147" t="s">
        <v>6410</v>
      </c>
      <c r="AK478" s="186">
        <v>2000000</v>
      </c>
      <c r="AL478" s="147">
        <v>110</v>
      </c>
      <c r="AM478" s="147">
        <f t="shared" si="125"/>
        <v>200</v>
      </c>
      <c r="AN478" s="147">
        <f t="shared" si="126"/>
        <v>400000000</v>
      </c>
      <c r="AO478" s="147" t="s">
        <v>6412</v>
      </c>
      <c r="AT478" t="s">
        <v>25</v>
      </c>
    </row>
    <row r="479" spans="18:46">
      <c r="R479" s="97" t="s">
        <v>5665</v>
      </c>
      <c r="S479" s="93">
        <v>25340079.252110001</v>
      </c>
      <c r="U479" s="187" t="s">
        <v>6383</v>
      </c>
      <c r="V479" s="187">
        <v>10637</v>
      </c>
      <c r="W479" s="186">
        <v>1880.082026</v>
      </c>
      <c r="X479" s="186">
        <f t="shared" si="104"/>
        <v>19998432.510561999</v>
      </c>
      <c r="Y479" s="260" t="s">
        <v>6384</v>
      </c>
      <c r="Z479" t="s">
        <v>25</v>
      </c>
      <c r="AI479" s="147">
        <v>206</v>
      </c>
      <c r="AJ479" s="147" t="s">
        <v>6629</v>
      </c>
      <c r="AK479" s="186">
        <v>5082711</v>
      </c>
      <c r="AL479" s="147">
        <v>89</v>
      </c>
      <c r="AM479" s="147">
        <f t="shared" si="125"/>
        <v>90</v>
      </c>
      <c r="AN479" s="147">
        <f t="shared" si="126"/>
        <v>457443990</v>
      </c>
      <c r="AO479" s="147" t="s">
        <v>6630</v>
      </c>
    </row>
    <row r="480" spans="18:46">
      <c r="R480" s="97" t="s">
        <v>5668</v>
      </c>
      <c r="S480" s="93">
        <v>14780983.183526</v>
      </c>
      <c r="U480" s="19" t="s">
        <v>6389</v>
      </c>
      <c r="V480" s="19">
        <v>306</v>
      </c>
      <c r="W480" s="115">
        <v>1831.8117119999999</v>
      </c>
      <c r="X480" s="115">
        <f t="shared" si="104"/>
        <v>560534.38387200003</v>
      </c>
      <c r="Y480" s="261" t="s">
        <v>5098</v>
      </c>
      <c r="Z480" t="s">
        <v>25</v>
      </c>
      <c r="AI480" s="147">
        <v>207</v>
      </c>
      <c r="AJ480" s="147" t="s">
        <v>7063</v>
      </c>
      <c r="AK480" s="186">
        <v>7300000</v>
      </c>
      <c r="AL480" s="147">
        <v>0</v>
      </c>
      <c r="AM480" s="147">
        <f t="shared" si="125"/>
        <v>1</v>
      </c>
      <c r="AN480" s="147">
        <f t="shared" si="126"/>
        <v>7300000</v>
      </c>
      <c r="AO480" s="147" t="s">
        <v>7065</v>
      </c>
    </row>
    <row r="481" spans="18:46">
      <c r="R481" s="97" t="s">
        <v>5668</v>
      </c>
      <c r="S481" s="93">
        <v>17804396.448481999</v>
      </c>
      <c r="U481" s="19" t="s">
        <v>6391</v>
      </c>
      <c r="V481" s="19">
        <v>325</v>
      </c>
      <c r="W481" s="115">
        <v>1789.1845169999999</v>
      </c>
      <c r="X481" s="115">
        <f t="shared" si="104"/>
        <v>581484.96802499995</v>
      </c>
      <c r="Y481" s="261" t="s">
        <v>5098</v>
      </c>
      <c r="AA481" t="s">
        <v>25</v>
      </c>
      <c r="AI481" s="20">
        <v>208</v>
      </c>
      <c r="AJ481" s="20" t="s">
        <v>7063</v>
      </c>
      <c r="AK481" s="115">
        <v>7000000</v>
      </c>
      <c r="AL481" s="20">
        <v>1</v>
      </c>
      <c r="AM481" s="20">
        <f t="shared" si="125"/>
        <v>1</v>
      </c>
      <c r="AN481" s="20">
        <f t="shared" si="126"/>
        <v>7000000</v>
      </c>
      <c r="AO481" s="20" t="s">
        <v>5825</v>
      </c>
    </row>
    <row r="482" spans="18:46">
      <c r="R482" s="97" t="s">
        <v>5671</v>
      </c>
      <c r="S482" s="93">
        <v>260260000</v>
      </c>
      <c r="U482" s="19" t="s">
        <v>6393</v>
      </c>
      <c r="V482" s="19">
        <v>1154</v>
      </c>
      <c r="W482" s="115">
        <v>1851.788857</v>
      </c>
      <c r="X482" s="115">
        <f t="shared" si="104"/>
        <v>2136964.3409779998</v>
      </c>
      <c r="Y482" s="261" t="s">
        <v>5098</v>
      </c>
      <c r="AA482" t="s">
        <v>25</v>
      </c>
      <c r="AI482" s="147"/>
      <c r="AJ482" s="147"/>
      <c r="AK482" s="186"/>
      <c r="AL482" s="147"/>
      <c r="AM482" s="147">
        <f t="shared" si="125"/>
        <v>0</v>
      </c>
      <c r="AN482" s="147">
        <f t="shared" si="126"/>
        <v>0</v>
      </c>
      <c r="AO482" s="147"/>
    </row>
    <row r="483" spans="18:46" ht="30">
      <c r="R483" s="97" t="s">
        <v>5672</v>
      </c>
      <c r="S483" s="93">
        <v>11538335.631417999</v>
      </c>
      <c r="U483" s="19" t="s">
        <v>6393</v>
      </c>
      <c r="V483" s="19">
        <v>3240</v>
      </c>
      <c r="W483" s="115">
        <v>1851.788857</v>
      </c>
      <c r="X483" s="115">
        <f t="shared" si="104"/>
        <v>5999795.8966800002</v>
      </c>
      <c r="Y483" s="261" t="s">
        <v>6394</v>
      </c>
      <c r="AB483" t="s">
        <v>25</v>
      </c>
      <c r="AI483" s="147"/>
      <c r="AJ483" s="147"/>
      <c r="AK483" s="186"/>
      <c r="AL483" s="147"/>
      <c r="AM483" s="147">
        <f t="shared" si="125"/>
        <v>0</v>
      </c>
      <c r="AN483" s="147">
        <f t="shared" si="126"/>
        <v>0</v>
      </c>
      <c r="AO483" s="147"/>
    </row>
    <row r="484" spans="18:46">
      <c r="R484" s="97" t="s">
        <v>5680</v>
      </c>
      <c r="S484" s="93">
        <v>12429517.767776001</v>
      </c>
      <c r="U484" s="19" t="s">
        <v>6393</v>
      </c>
      <c r="V484" s="19">
        <v>-3240</v>
      </c>
      <c r="W484" s="115">
        <v>1851.788857</v>
      </c>
      <c r="X484" s="115">
        <f t="shared" si="104"/>
        <v>-5999795.8966800002</v>
      </c>
      <c r="Y484" s="261" t="s">
        <v>6395</v>
      </c>
      <c r="AA484" t="s">
        <v>25</v>
      </c>
      <c r="AI484" s="20"/>
      <c r="AJ484" s="20"/>
      <c r="AK484" s="115"/>
      <c r="AL484" s="20"/>
      <c r="AM484" s="20">
        <f t="shared" si="123"/>
        <v>0</v>
      </c>
      <c r="AN484" s="20">
        <f t="shared" si="124"/>
        <v>0</v>
      </c>
      <c r="AO484" s="20"/>
    </row>
    <row r="485" spans="18:46">
      <c r="R485" s="97" t="s">
        <v>5682</v>
      </c>
      <c r="S485" s="93">
        <v>5031176.5087869996</v>
      </c>
      <c r="U485" s="19" t="s">
        <v>6396</v>
      </c>
      <c r="V485" s="19">
        <v>330</v>
      </c>
      <c r="W485" s="115">
        <v>1799.34311</v>
      </c>
      <c r="X485" s="115">
        <f t="shared" si="104"/>
        <v>593783.22629999998</v>
      </c>
      <c r="Y485" s="261" t="s">
        <v>5098</v>
      </c>
      <c r="AB485" t="s">
        <v>25</v>
      </c>
      <c r="AI485" s="20"/>
      <c r="AJ485" s="20"/>
      <c r="AK485" s="115"/>
      <c r="AL485" s="20"/>
      <c r="AM485" s="20">
        <f t="shared" si="123"/>
        <v>0</v>
      </c>
      <c r="AN485" s="20">
        <f t="shared" si="124"/>
        <v>0</v>
      </c>
      <c r="AO485" s="20"/>
    </row>
    <row r="486" spans="18:46">
      <c r="R486" s="97" t="s">
        <v>5686</v>
      </c>
      <c r="S486" s="93">
        <v>6822803.9080700008</v>
      </c>
      <c r="U486" s="19" t="s">
        <v>6400</v>
      </c>
      <c r="V486" s="19">
        <v>266</v>
      </c>
      <c r="W486" s="115">
        <v>1764.9246700000001</v>
      </c>
      <c r="X486" s="115">
        <f t="shared" si="104"/>
        <v>469469.96222000004</v>
      </c>
      <c r="Y486" s="261" t="s">
        <v>5098</v>
      </c>
      <c r="Z486" t="s">
        <v>25</v>
      </c>
      <c r="AI486" s="20"/>
      <c r="AJ486" s="20"/>
      <c r="AK486" s="115"/>
      <c r="AL486" s="20"/>
      <c r="AM486" s="20">
        <f t="shared" si="123"/>
        <v>0</v>
      </c>
      <c r="AN486" s="20">
        <f t="shared" si="124"/>
        <v>0</v>
      </c>
      <c r="AO486" s="20"/>
    </row>
    <row r="487" spans="18:46">
      <c r="R487" s="97" t="s">
        <v>5695</v>
      </c>
      <c r="S487" s="93">
        <v>330889.73324399994</v>
      </c>
      <c r="U487" s="187" t="s">
        <v>6410</v>
      </c>
      <c r="V487" s="187">
        <v>-10637</v>
      </c>
      <c r="W487" s="186">
        <v>1739.5916549999999</v>
      </c>
      <c r="X487" s="186">
        <f t="shared" si="104"/>
        <v>-18504036.434234999</v>
      </c>
      <c r="Y487" s="260" t="s">
        <v>6413</v>
      </c>
      <c r="Z487" t="s">
        <v>25</v>
      </c>
      <c r="AB487" t="s">
        <v>25</v>
      </c>
      <c r="AI487" s="97"/>
      <c r="AJ487" s="97"/>
      <c r="AK487" s="115"/>
      <c r="AL487" s="97"/>
      <c r="AM487" s="20">
        <f t="shared" si="123"/>
        <v>0</v>
      </c>
      <c r="AN487" s="20">
        <f t="shared" si="124"/>
        <v>0</v>
      </c>
      <c r="AO487" s="20"/>
    </row>
    <row r="488" spans="18:46">
      <c r="R488" s="97" t="s">
        <v>5696</v>
      </c>
      <c r="S488" s="93">
        <v>6610318.1610199995</v>
      </c>
      <c r="U488" s="19" t="s">
        <v>6410</v>
      </c>
      <c r="V488" s="19">
        <v>10637</v>
      </c>
      <c r="W488" s="115">
        <v>1739.5916549999999</v>
      </c>
      <c r="X488" s="115">
        <f t="shared" si="104"/>
        <v>18504036.434234999</v>
      </c>
      <c r="Y488" s="261" t="s">
        <v>6414</v>
      </c>
      <c r="AB488" t="s">
        <v>25</v>
      </c>
      <c r="AI488" s="97"/>
      <c r="AJ488" s="97"/>
      <c r="AK488" s="115"/>
      <c r="AL488" s="97"/>
      <c r="AM488" s="20">
        <f t="shared" si="119"/>
        <v>0</v>
      </c>
      <c r="AN488" s="20">
        <f t="shared" si="120"/>
        <v>0</v>
      </c>
      <c r="AO488" s="97"/>
    </row>
    <row r="489" spans="18:46" ht="30">
      <c r="R489" s="97" t="s">
        <v>5698</v>
      </c>
      <c r="S489" s="93">
        <v>710713.17725199996</v>
      </c>
      <c r="U489" s="19" t="s">
        <v>6438</v>
      </c>
      <c r="V489" s="19">
        <v>39478</v>
      </c>
      <c r="W489" s="115">
        <v>1873.903047</v>
      </c>
      <c r="X489" s="115">
        <f t="shared" si="104"/>
        <v>73977944.489465997</v>
      </c>
      <c r="Y489" s="261" t="s">
        <v>6439</v>
      </c>
      <c r="AI489" s="97"/>
      <c r="AJ489" s="97"/>
      <c r="AK489" s="93">
        <f>SUM(AK292:AK488)</f>
        <v>221175387.84822798</v>
      </c>
      <c r="AL489" s="97"/>
      <c r="AM489" s="97"/>
      <c r="AN489" s="97">
        <f>SUM(AN292:AN488)</f>
        <v>212966705974</v>
      </c>
      <c r="AO489" s="93">
        <f>AN489*AO278/31</f>
        <v>114500518.98285995</v>
      </c>
    </row>
    <row r="490" spans="18:46">
      <c r="R490" s="97" t="s">
        <v>5701</v>
      </c>
      <c r="S490" s="93">
        <v>81025</v>
      </c>
      <c r="U490" s="19" t="s">
        <v>6443</v>
      </c>
      <c r="V490" s="19">
        <v>283</v>
      </c>
      <c r="W490" s="115">
        <v>2014.7222959999999</v>
      </c>
      <c r="X490" s="115">
        <f t="shared" si="104"/>
        <v>570166.40976800001</v>
      </c>
      <c r="Y490" s="261" t="s">
        <v>6444</v>
      </c>
      <c r="Z490" t="s">
        <v>25</v>
      </c>
      <c r="AB490" t="s">
        <v>25</v>
      </c>
      <c r="AC490" t="s">
        <v>25</v>
      </c>
      <c r="AK490" t="s">
        <v>4041</v>
      </c>
      <c r="AN490" t="s">
        <v>284</v>
      </c>
      <c r="AO490" t="s">
        <v>926</v>
      </c>
    </row>
    <row r="491" spans="18:46">
      <c r="R491" s="97" t="s">
        <v>5702</v>
      </c>
      <c r="S491" s="93">
        <v>219696.613128</v>
      </c>
      <c r="U491" s="19" t="s">
        <v>6446</v>
      </c>
      <c r="V491" s="19">
        <v>1704</v>
      </c>
      <c r="W491" s="115">
        <v>2104.0605820000001</v>
      </c>
      <c r="X491" s="115">
        <f t="shared" si="104"/>
        <v>3585319.2317280001</v>
      </c>
      <c r="Y491" s="261" t="s">
        <v>5098</v>
      </c>
      <c r="AA491" t="s">
        <v>25</v>
      </c>
      <c r="AB491" t="s">
        <v>25</v>
      </c>
      <c r="AT491" t="s">
        <v>25</v>
      </c>
    </row>
    <row r="492" spans="18:46">
      <c r="R492" s="97" t="s">
        <v>5703</v>
      </c>
      <c r="S492" s="93">
        <v>6035472.4070199998</v>
      </c>
      <c r="U492" s="19" t="s">
        <v>6449</v>
      </c>
      <c r="V492" s="19">
        <v>324</v>
      </c>
      <c r="W492" s="115">
        <v>2088.5824040000002</v>
      </c>
      <c r="X492" s="115">
        <f t="shared" si="104"/>
        <v>676700.69889600005</v>
      </c>
      <c r="Y492" s="261" t="s">
        <v>5098</v>
      </c>
      <c r="Z492" t="s">
        <v>25</v>
      </c>
      <c r="AA492" t="s">
        <v>25</v>
      </c>
      <c r="AB492" t="s">
        <v>25</v>
      </c>
      <c r="AJ492" t="s">
        <v>4043</v>
      </c>
      <c r="AK492" s="112">
        <f>AK489+AO489</f>
        <v>335675906.83108795</v>
      </c>
      <c r="AN492" t="s">
        <v>25</v>
      </c>
    </row>
    <row r="493" spans="18:46">
      <c r="R493" s="97" t="s">
        <v>5704</v>
      </c>
      <c r="S493" s="93">
        <v>984486.34963200008</v>
      </c>
      <c r="U493" s="19" t="s">
        <v>6457</v>
      </c>
      <c r="V493" s="19">
        <v>538</v>
      </c>
      <c r="W493" s="115">
        <v>2055.3485930000002</v>
      </c>
      <c r="X493" s="115">
        <f t="shared" si="104"/>
        <v>1105777.5430340001</v>
      </c>
      <c r="Y493" s="261" t="s">
        <v>5098</v>
      </c>
      <c r="Z493" t="s">
        <v>25</v>
      </c>
      <c r="AJ493" t="s">
        <v>4046</v>
      </c>
      <c r="AK493" s="112">
        <f>SUM(N26:N36)</f>
        <v>4362588917.6000004</v>
      </c>
    </row>
    <row r="494" spans="18:46">
      <c r="R494" s="97" t="s">
        <v>5714</v>
      </c>
      <c r="S494" s="93">
        <v>2143469.938015</v>
      </c>
      <c r="U494" s="19" t="s">
        <v>6461</v>
      </c>
      <c r="V494" s="19">
        <v>1031</v>
      </c>
      <c r="W494" s="115">
        <v>2245.620621</v>
      </c>
      <c r="X494" s="115">
        <f t="shared" si="104"/>
        <v>2315234.8602510002</v>
      </c>
      <c r="Y494" s="261" t="s">
        <v>5098</v>
      </c>
      <c r="Z494" t="s">
        <v>25</v>
      </c>
      <c r="AB494" t="s">
        <v>25</v>
      </c>
      <c r="AJ494" t="s">
        <v>4116</v>
      </c>
      <c r="AK494" s="112">
        <f>AK493-AK489</f>
        <v>4141413529.7517724</v>
      </c>
    </row>
    <row r="495" spans="18:46">
      <c r="R495" s="97" t="s">
        <v>5715</v>
      </c>
      <c r="S495" s="93">
        <v>3085460.5177150001</v>
      </c>
      <c r="U495" s="19" t="s">
        <v>6463</v>
      </c>
      <c r="V495" s="19">
        <v>1804</v>
      </c>
      <c r="W495" s="115">
        <v>2292.882846</v>
      </c>
      <c r="X495" s="115">
        <f t="shared" si="104"/>
        <v>4136360.6541840001</v>
      </c>
      <c r="Y495" s="261" t="s">
        <v>5098</v>
      </c>
      <c r="AB495" t="s">
        <v>25</v>
      </c>
      <c r="AJ495" t="s">
        <v>926</v>
      </c>
      <c r="AK495" s="112">
        <f>AO489</f>
        <v>114500518.98285995</v>
      </c>
    </row>
    <row r="496" spans="18:46">
      <c r="R496" s="97" t="s">
        <v>5716</v>
      </c>
      <c r="S496" s="93">
        <v>8261456.790906</v>
      </c>
      <c r="U496" s="19" t="s">
        <v>6465</v>
      </c>
      <c r="V496" s="19">
        <v>1348</v>
      </c>
      <c r="W496" s="115">
        <v>2252.0137020000002</v>
      </c>
      <c r="X496" s="115">
        <f t="shared" si="104"/>
        <v>3035714.4702960001</v>
      </c>
      <c r="Y496" s="261" t="s">
        <v>5098</v>
      </c>
      <c r="AC496" t="s">
        <v>25</v>
      </c>
      <c r="AJ496" t="s">
        <v>4047</v>
      </c>
      <c r="AK496" s="112">
        <f>AK494-AK495</f>
        <v>4026913010.7689123</v>
      </c>
      <c r="AN496" t="s">
        <v>25</v>
      </c>
      <c r="AO496" t="s">
        <v>25</v>
      </c>
    </row>
    <row r="497" spans="18:41">
      <c r="R497" s="97" t="s">
        <v>5720</v>
      </c>
      <c r="S497" s="93">
        <v>6572373.7593120001</v>
      </c>
      <c r="U497" s="19" t="s">
        <v>6473</v>
      </c>
      <c r="V497" s="19">
        <v>-76536</v>
      </c>
      <c r="W497" s="115">
        <v>2350.6086869999999</v>
      </c>
      <c r="X497" s="115">
        <f t="shared" si="104"/>
        <v>-179906186.46823201</v>
      </c>
      <c r="Y497" s="261" t="s">
        <v>6476</v>
      </c>
      <c r="AM497" t="s">
        <v>25</v>
      </c>
      <c r="AN497" t="s">
        <v>25</v>
      </c>
      <c r="AO497" t="s">
        <v>25</v>
      </c>
    </row>
    <row r="498" spans="18:41">
      <c r="R498" s="97" t="s">
        <v>5721</v>
      </c>
      <c r="S498" s="93">
        <v>2893243.5730909999</v>
      </c>
      <c r="U498" s="19" t="s">
        <v>6478</v>
      </c>
      <c r="V498" s="19">
        <v>145</v>
      </c>
      <c r="W498" s="115">
        <v>2379.7882030000001</v>
      </c>
      <c r="X498" s="115">
        <f t="shared" si="104"/>
        <v>345069.28943499998</v>
      </c>
      <c r="Y498" s="261" t="s">
        <v>5098</v>
      </c>
      <c r="Z498" t="s">
        <v>25</v>
      </c>
      <c r="AB498" t="s">
        <v>25</v>
      </c>
    </row>
    <row r="499" spans="18:41">
      <c r="R499" s="97" t="s">
        <v>5726</v>
      </c>
      <c r="S499" s="93">
        <v>94992058.939007998</v>
      </c>
      <c r="U499" s="187" t="s">
        <v>6478</v>
      </c>
      <c r="V499" s="187">
        <v>55</v>
      </c>
      <c r="W499" s="186">
        <v>2379.7882030000001</v>
      </c>
      <c r="X499" s="186">
        <f t="shared" si="104"/>
        <v>130888.351165</v>
      </c>
      <c r="Y499" s="260" t="s">
        <v>6564</v>
      </c>
      <c r="AA499" t="s">
        <v>25</v>
      </c>
      <c r="AC499" t="s">
        <v>25</v>
      </c>
    </row>
    <row r="500" spans="18:41">
      <c r="R500" s="97" t="s">
        <v>5731</v>
      </c>
      <c r="S500" s="93">
        <v>275021.925965</v>
      </c>
      <c r="U500" s="19" t="s">
        <v>6478</v>
      </c>
      <c r="V500" s="19">
        <v>53</v>
      </c>
      <c r="W500" s="115">
        <v>2379.7882030000001</v>
      </c>
      <c r="X500" s="115">
        <f t="shared" si="104"/>
        <v>126128.77475900001</v>
      </c>
      <c r="Y500" s="261" t="s">
        <v>6565</v>
      </c>
      <c r="AA500" t="s">
        <v>25</v>
      </c>
      <c r="AO500" t="s">
        <v>25</v>
      </c>
    </row>
    <row r="501" spans="18:41">
      <c r="R501" s="97" t="s">
        <v>5741</v>
      </c>
      <c r="S501" s="93">
        <v>327451.9203</v>
      </c>
      <c r="U501" s="19" t="s">
        <v>6570</v>
      </c>
      <c r="V501" s="19">
        <v>243</v>
      </c>
      <c r="W501" s="115">
        <v>2336.5653440000001</v>
      </c>
      <c r="X501" s="115">
        <f t="shared" si="104"/>
        <v>567785.37859199999</v>
      </c>
      <c r="Y501" s="261" t="s">
        <v>5098</v>
      </c>
      <c r="AC501" t="s">
        <v>25</v>
      </c>
      <c r="AO501" t="s">
        <v>25</v>
      </c>
    </row>
    <row r="502" spans="18:41">
      <c r="R502" s="97" t="s">
        <v>5749</v>
      </c>
      <c r="S502" s="93">
        <v>260081.94096800001</v>
      </c>
      <c r="U502" s="19" t="s">
        <v>6581</v>
      </c>
      <c r="V502" s="19">
        <v>81</v>
      </c>
      <c r="W502" s="115">
        <v>2341.77675</v>
      </c>
      <c r="X502" s="115">
        <f t="shared" si="104"/>
        <v>189683.91675</v>
      </c>
      <c r="Y502" s="261" t="s">
        <v>5098</v>
      </c>
      <c r="Z502" t="s">
        <v>25</v>
      </c>
    </row>
    <row r="503" spans="18:41">
      <c r="R503" s="97" t="s">
        <v>5750</v>
      </c>
      <c r="S503" s="93">
        <v>2909284.5308940001</v>
      </c>
      <c r="U503" s="187" t="s">
        <v>6582</v>
      </c>
      <c r="V503" s="187">
        <v>21767</v>
      </c>
      <c r="W503" s="186">
        <v>2297.060872</v>
      </c>
      <c r="X503" s="186">
        <f t="shared" si="104"/>
        <v>50000124.000823997</v>
      </c>
      <c r="Y503" s="260" t="s">
        <v>6584</v>
      </c>
    </row>
    <row r="504" spans="18:41">
      <c r="R504" s="97" t="s">
        <v>5751</v>
      </c>
      <c r="S504" s="93">
        <v>37723205.094084002</v>
      </c>
      <c r="U504" s="19" t="s">
        <v>6582</v>
      </c>
      <c r="V504" s="19">
        <v>4353</v>
      </c>
      <c r="W504" s="115">
        <v>2297.060872</v>
      </c>
      <c r="X504" s="115">
        <f t="shared" si="104"/>
        <v>9999105.9758160003</v>
      </c>
      <c r="Y504" s="261" t="s">
        <v>6585</v>
      </c>
      <c r="AA504" t="s">
        <v>25</v>
      </c>
    </row>
    <row r="505" spans="18:41">
      <c r="R505" s="97" t="s">
        <v>5752</v>
      </c>
      <c r="S505" s="93">
        <v>1500094.75168</v>
      </c>
      <c r="U505" s="19" t="s">
        <v>6582</v>
      </c>
      <c r="V505" s="19">
        <v>226</v>
      </c>
      <c r="W505" s="115">
        <v>2297.060872</v>
      </c>
      <c r="X505" s="115">
        <f t="shared" si="104"/>
        <v>519135.75707200001</v>
      </c>
      <c r="Y505" s="261" t="s">
        <v>5098</v>
      </c>
      <c r="AB505" t="s">
        <v>25</v>
      </c>
    </row>
    <row r="506" spans="18:41">
      <c r="R506" s="97" t="s">
        <v>5754</v>
      </c>
      <c r="S506" s="93">
        <v>7230628.4378079996</v>
      </c>
      <c r="U506" s="19" t="s">
        <v>6588</v>
      </c>
      <c r="V506" s="19">
        <v>1416</v>
      </c>
      <c r="W506" s="115">
        <v>2405.6595360000001</v>
      </c>
      <c r="X506" s="115">
        <f t="shared" si="104"/>
        <v>3406413.9029760002</v>
      </c>
      <c r="Y506" s="261" t="s">
        <v>5098</v>
      </c>
      <c r="AA506" t="s">
        <v>25</v>
      </c>
    </row>
    <row r="507" spans="18:41">
      <c r="R507" s="97" t="s">
        <v>5755</v>
      </c>
      <c r="S507" s="93">
        <v>29767389.390390001</v>
      </c>
      <c r="U507" s="19" t="s">
        <v>6590</v>
      </c>
      <c r="V507" s="19">
        <v>172</v>
      </c>
      <c r="W507" s="115">
        <v>2529.2810939999999</v>
      </c>
      <c r="X507" s="115">
        <f t="shared" si="104"/>
        <v>435036.348168</v>
      </c>
      <c r="Y507" s="261" t="s">
        <v>5098</v>
      </c>
      <c r="AA507" t="s">
        <v>25</v>
      </c>
    </row>
    <row r="508" spans="18:41">
      <c r="R508" s="97" t="s">
        <v>5757</v>
      </c>
      <c r="S508" s="93">
        <v>151560.25597</v>
      </c>
      <c r="U508" s="19" t="s">
        <v>6598</v>
      </c>
      <c r="V508" s="19">
        <v>-3909</v>
      </c>
      <c r="W508" s="115">
        <v>2881.8852230000002</v>
      </c>
      <c r="X508" s="115">
        <f>V508*W508</f>
        <v>-11265289.336707002</v>
      </c>
      <c r="Y508" s="261" t="s">
        <v>6599</v>
      </c>
    </row>
    <row r="509" spans="18:41">
      <c r="R509" s="97" t="s">
        <v>5760</v>
      </c>
      <c r="S509" s="93">
        <v>481318.88078800001</v>
      </c>
      <c r="U509" s="187" t="s">
        <v>6598</v>
      </c>
      <c r="V509" s="187">
        <v>-932</v>
      </c>
      <c r="W509" s="186">
        <v>2881.8852230000002</v>
      </c>
      <c r="X509" s="186">
        <f t="shared" si="104"/>
        <v>-2685917.0278360001</v>
      </c>
      <c r="Y509" s="260" t="s">
        <v>6600</v>
      </c>
      <c r="AB509" t="s">
        <v>25</v>
      </c>
    </row>
    <row r="510" spans="18:41">
      <c r="R510" s="97" t="s">
        <v>5772</v>
      </c>
      <c r="S510" s="93">
        <v>146277.56820000001</v>
      </c>
      <c r="U510" s="19" t="s">
        <v>6610</v>
      </c>
      <c r="V510" s="19">
        <v>33</v>
      </c>
      <c r="W510" s="115">
        <v>2905.0202519999998</v>
      </c>
      <c r="X510" s="115">
        <f t="shared" si="104"/>
        <v>95865.668315999996</v>
      </c>
      <c r="Y510" s="261" t="s">
        <v>4406</v>
      </c>
    </row>
    <row r="511" spans="18:41">
      <c r="R511" s="97" t="s">
        <v>5775</v>
      </c>
      <c r="S511" s="93">
        <v>424693.40162399999</v>
      </c>
      <c r="U511" s="187" t="s">
        <v>6629</v>
      </c>
      <c r="V511" s="187">
        <v>10421</v>
      </c>
      <c r="W511" s="186">
        <v>2780.2819920000002</v>
      </c>
      <c r="X511" s="186">
        <f t="shared" si="104"/>
        <v>28973318.638632003</v>
      </c>
      <c r="Y511" s="260" t="s">
        <v>6631</v>
      </c>
    </row>
    <row r="512" spans="18:41">
      <c r="R512" s="97" t="s">
        <v>5777</v>
      </c>
      <c r="S512" s="93">
        <v>558320.40202399995</v>
      </c>
      <c r="U512" s="19" t="s">
        <v>6629</v>
      </c>
      <c r="V512" s="19">
        <v>835</v>
      </c>
      <c r="W512" s="115">
        <v>2780.2819920000002</v>
      </c>
      <c r="X512" s="115">
        <f t="shared" si="104"/>
        <v>2321535.4633200001</v>
      </c>
      <c r="Y512" s="261" t="s">
        <v>5098</v>
      </c>
    </row>
    <row r="513" spans="15:28">
      <c r="R513" s="97" t="s">
        <v>5799</v>
      </c>
      <c r="S513" s="93">
        <v>207642.22201140001</v>
      </c>
      <c r="U513" s="19" t="s">
        <v>6910</v>
      </c>
      <c r="V513" s="19">
        <v>410</v>
      </c>
      <c r="W513" s="115">
        <v>2678.4068379999999</v>
      </c>
      <c r="X513" s="115">
        <f t="shared" si="104"/>
        <v>1098146.8035800001</v>
      </c>
      <c r="Y513" s="261" t="s">
        <v>5098</v>
      </c>
    </row>
    <row r="514" spans="15:28">
      <c r="R514" s="97" t="s">
        <v>5799</v>
      </c>
      <c r="S514" s="93">
        <v>33832510.64875</v>
      </c>
      <c r="U514" s="19" t="s">
        <v>6915</v>
      </c>
      <c r="V514" s="19">
        <v>201</v>
      </c>
      <c r="W514" s="115">
        <v>2688.6794049999999</v>
      </c>
      <c r="X514" s="115">
        <f t="shared" si="104"/>
        <v>540424.560405</v>
      </c>
      <c r="Y514" s="261" t="s">
        <v>5098</v>
      </c>
      <c r="AA514" t="s">
        <v>25</v>
      </c>
    </row>
    <row r="515" spans="15:28">
      <c r="R515" s="97" t="s">
        <v>5808</v>
      </c>
      <c r="S515" s="93">
        <v>637977.33504399995</v>
      </c>
      <c r="U515" s="19" t="s">
        <v>6917</v>
      </c>
      <c r="V515" s="19">
        <v>1133</v>
      </c>
      <c r="W515" s="115">
        <v>2455.1740869999999</v>
      </c>
      <c r="X515" s="115">
        <f t="shared" si="104"/>
        <v>2781712.2405709997</v>
      </c>
      <c r="Y515" s="261" t="s">
        <v>5098</v>
      </c>
      <c r="AA515" t="s">
        <v>25</v>
      </c>
      <c r="AB515" t="s">
        <v>25</v>
      </c>
    </row>
    <row r="516" spans="15:28" ht="30">
      <c r="P516" t="s">
        <v>25</v>
      </c>
      <c r="R516" s="97" t="s">
        <v>5809</v>
      </c>
      <c r="S516" s="93">
        <v>466552.25632400002</v>
      </c>
      <c r="U516" s="19" t="s">
        <v>6920</v>
      </c>
      <c r="V516" s="19">
        <v>59</v>
      </c>
      <c r="W516" s="115">
        <v>2706.4553110000002</v>
      </c>
      <c r="X516" s="115">
        <f t="shared" si="104"/>
        <v>159680.86334900002</v>
      </c>
      <c r="Y516" s="261" t="s">
        <v>6921</v>
      </c>
      <c r="Z516" t="s">
        <v>25</v>
      </c>
      <c r="AA516" t="s">
        <v>25</v>
      </c>
      <c r="AB516" t="s">
        <v>25</v>
      </c>
    </row>
    <row r="517" spans="15:28">
      <c r="R517" s="97" t="s">
        <v>5810</v>
      </c>
      <c r="S517" s="93">
        <v>149316.98805000001</v>
      </c>
      <c r="U517" s="19" t="s">
        <v>6946</v>
      </c>
      <c r="V517" s="19">
        <v>4795</v>
      </c>
      <c r="W517" s="115">
        <v>2908.4025580000002</v>
      </c>
      <c r="X517" s="115">
        <f t="shared" si="104"/>
        <v>13945790.265610002</v>
      </c>
      <c r="Y517" s="261" t="s">
        <v>5338</v>
      </c>
    </row>
    <row r="518" spans="15:28">
      <c r="R518" s="97" t="s">
        <v>5810</v>
      </c>
      <c r="S518" s="93">
        <v>189134.85153000001</v>
      </c>
      <c r="U518" s="19" t="s">
        <v>6948</v>
      </c>
      <c r="V518" s="19">
        <v>164</v>
      </c>
      <c r="W518" s="115">
        <v>2792.1636870000002</v>
      </c>
      <c r="X518" s="115">
        <f t="shared" si="104"/>
        <v>457914.84466800001</v>
      </c>
      <c r="Y518" s="261" t="s">
        <v>5338</v>
      </c>
    </row>
    <row r="519" spans="15:28">
      <c r="R519" s="97" t="s">
        <v>5812</v>
      </c>
      <c r="S519" s="93">
        <v>564888.82799599995</v>
      </c>
      <c r="U519" s="19" t="s">
        <v>6950</v>
      </c>
      <c r="V519" s="19">
        <v>352</v>
      </c>
      <c r="W519" s="115">
        <v>2768.6657369999998</v>
      </c>
      <c r="X519" s="115">
        <f t="shared" si="104"/>
        <v>974570.33942399989</v>
      </c>
      <c r="Y519" s="261" t="s">
        <v>5338</v>
      </c>
    </row>
    <row r="520" spans="15:28">
      <c r="R520" s="97" t="s">
        <v>5815</v>
      </c>
      <c r="S520" s="93">
        <v>8762299.2047910001</v>
      </c>
      <c r="U520" s="19" t="s">
        <v>6952</v>
      </c>
      <c r="V520" s="19">
        <v>283</v>
      </c>
      <c r="W520" s="115">
        <v>2636.7439079999999</v>
      </c>
      <c r="X520" s="115">
        <f t="shared" si="104"/>
        <v>746198.52596400003</v>
      </c>
      <c r="Y520" s="261" t="s">
        <v>5338</v>
      </c>
      <c r="Z520" t="s">
        <v>25</v>
      </c>
    </row>
    <row r="521" spans="15:28">
      <c r="R521" s="97" t="s">
        <v>5815</v>
      </c>
      <c r="S521" s="93">
        <v>-341847876.93843603</v>
      </c>
      <c r="U521" s="19" t="s">
        <v>6955</v>
      </c>
      <c r="V521" s="19">
        <v>154</v>
      </c>
      <c r="W521" s="115">
        <v>2702</v>
      </c>
      <c r="X521" s="115">
        <f t="shared" si="104"/>
        <v>416108</v>
      </c>
      <c r="Y521" s="261" t="s">
        <v>5338</v>
      </c>
      <c r="Z521" t="s">
        <v>25</v>
      </c>
      <c r="AA521" t="s">
        <v>25</v>
      </c>
    </row>
    <row r="522" spans="15:28">
      <c r="R522" s="97" t="s">
        <v>5847</v>
      </c>
      <c r="S522" s="93">
        <v>259993.58394100002</v>
      </c>
      <c r="U522" s="19" t="s">
        <v>6970</v>
      </c>
      <c r="V522" s="19">
        <v>135</v>
      </c>
      <c r="W522" s="115">
        <v>2678.6709300000002</v>
      </c>
      <c r="X522" s="115">
        <f t="shared" si="104"/>
        <v>361620.57555000001</v>
      </c>
      <c r="Y522" s="261" t="s">
        <v>5338</v>
      </c>
      <c r="AA522" t="s">
        <v>25</v>
      </c>
    </row>
    <row r="523" spans="15:28">
      <c r="R523" s="97" t="s">
        <v>5848</v>
      </c>
      <c r="S523" s="93">
        <v>269955.31205999997</v>
      </c>
      <c r="U523" s="19" t="s">
        <v>6971</v>
      </c>
      <c r="V523" s="19">
        <v>291</v>
      </c>
      <c r="W523" s="115">
        <v>2616.1873500000002</v>
      </c>
      <c r="X523" s="115">
        <f t="shared" si="104"/>
        <v>761310.51884999999</v>
      </c>
      <c r="Y523" s="261" t="s">
        <v>5338</v>
      </c>
      <c r="AA523" t="s">
        <v>25</v>
      </c>
    </row>
    <row r="524" spans="15:28">
      <c r="R524" s="97" t="s">
        <v>6389</v>
      </c>
      <c r="S524" s="93">
        <v>560534.38387200003</v>
      </c>
      <c r="U524" s="19" t="s">
        <v>6974</v>
      </c>
      <c r="V524" s="19">
        <v>1194</v>
      </c>
      <c r="W524" s="115">
        <v>2552.0103049999998</v>
      </c>
      <c r="X524" s="115">
        <f t="shared" si="104"/>
        <v>3047100.3041699999</v>
      </c>
      <c r="Y524" s="261" t="s">
        <v>5338</v>
      </c>
      <c r="Z524" t="s">
        <v>25</v>
      </c>
      <c r="AA524" t="s">
        <v>25</v>
      </c>
    </row>
    <row r="525" spans="15:28">
      <c r="R525" s="97" t="s">
        <v>6391</v>
      </c>
      <c r="S525" s="93">
        <v>581484.96802499995</v>
      </c>
      <c r="U525" s="19" t="s">
        <v>6977</v>
      </c>
      <c r="V525" s="19">
        <v>928</v>
      </c>
      <c r="W525" s="115">
        <v>2626.1621239999999</v>
      </c>
      <c r="X525" s="115">
        <f t="shared" si="104"/>
        <v>2437078.451072</v>
      </c>
      <c r="Y525" s="261" t="s">
        <v>5338</v>
      </c>
    </row>
    <row r="526" spans="15:28">
      <c r="R526" s="97" t="s">
        <v>6393</v>
      </c>
      <c r="S526" s="93">
        <v>2136964.3409779998</v>
      </c>
      <c r="U526" s="187" t="s">
        <v>7034</v>
      </c>
      <c r="V526" s="187">
        <v>-15181</v>
      </c>
      <c r="W526" s="186">
        <v>2675.3319820000002</v>
      </c>
      <c r="X526" s="186">
        <f t="shared" si="104"/>
        <v>-40614214.818742</v>
      </c>
      <c r="Y526" s="260" t="s">
        <v>7035</v>
      </c>
      <c r="AB526" t="s">
        <v>25</v>
      </c>
    </row>
    <row r="527" spans="15:28">
      <c r="O527" s="112"/>
      <c r="R527" s="97" t="s">
        <v>6396</v>
      </c>
      <c r="S527" s="93">
        <v>593783.22629999998</v>
      </c>
      <c r="U527" s="19" t="s">
        <v>7059</v>
      </c>
      <c r="V527" s="19">
        <v>3122</v>
      </c>
      <c r="W527" s="115">
        <v>2481.626972</v>
      </c>
      <c r="X527" s="115">
        <f t="shared" si="104"/>
        <v>7747639.4065840002</v>
      </c>
      <c r="Y527" s="261" t="s">
        <v>5338</v>
      </c>
      <c r="AB527" t="s">
        <v>5526</v>
      </c>
    </row>
    <row r="528" spans="15:28">
      <c r="R528" s="97" t="s">
        <v>6400</v>
      </c>
      <c r="S528" s="93">
        <v>469469.96222000004</v>
      </c>
      <c r="U528" s="19" t="s">
        <v>7061</v>
      </c>
      <c r="V528" s="19">
        <v>2209</v>
      </c>
      <c r="W528" s="115">
        <v>2528.2563839999998</v>
      </c>
      <c r="X528" s="115">
        <f t="shared" si="104"/>
        <v>5584918.3522559991</v>
      </c>
      <c r="Y528" s="261" t="s">
        <v>5338</v>
      </c>
      <c r="Z528" t="s">
        <v>25</v>
      </c>
    </row>
    <row r="529" spans="18:28">
      <c r="R529" s="97" t="s">
        <v>6438</v>
      </c>
      <c r="S529" s="93">
        <v>73977944.489465997</v>
      </c>
      <c r="U529" s="187" t="s">
        <v>7063</v>
      </c>
      <c r="V529" s="187">
        <v>2977</v>
      </c>
      <c r="W529" s="186">
        <v>2451.5674020000001</v>
      </c>
      <c r="X529" s="186">
        <f t="shared" si="104"/>
        <v>7298316.1557539999</v>
      </c>
      <c r="Y529" s="260" t="s">
        <v>1069</v>
      </c>
      <c r="Z529" t="s">
        <v>25</v>
      </c>
    </row>
    <row r="530" spans="18:28">
      <c r="R530" s="97" t="s">
        <v>6443</v>
      </c>
      <c r="S530" s="93">
        <v>570166.40976800001</v>
      </c>
      <c r="U530" s="19" t="s">
        <v>7063</v>
      </c>
      <c r="V530" s="19">
        <v>2857</v>
      </c>
      <c r="W530" s="115">
        <v>2451.5674020000001</v>
      </c>
      <c r="X530" s="115">
        <f t="shared" si="104"/>
        <v>7004128.0675140005</v>
      </c>
      <c r="Y530" s="261" t="s">
        <v>743</v>
      </c>
    </row>
    <row r="531" spans="18:28">
      <c r="R531" s="97" t="s">
        <v>6446</v>
      </c>
      <c r="S531" s="93">
        <v>3585319.2317280001</v>
      </c>
      <c r="U531" s="19" t="s">
        <v>7063</v>
      </c>
      <c r="V531" s="19">
        <v>234</v>
      </c>
      <c r="W531" s="115">
        <v>2451.5674020000001</v>
      </c>
      <c r="X531" s="115">
        <f t="shared" si="104"/>
        <v>573666.77206800005</v>
      </c>
      <c r="Y531" s="261" t="s">
        <v>5098</v>
      </c>
      <c r="Z531" t="s">
        <v>25</v>
      </c>
    </row>
    <row r="532" spans="18:28">
      <c r="R532" s="97" t="s">
        <v>6449</v>
      </c>
      <c r="S532" s="93">
        <v>676700.69889600005</v>
      </c>
      <c r="U532" s="19" t="s">
        <v>7076</v>
      </c>
      <c r="V532" s="19">
        <v>751</v>
      </c>
      <c r="W532" s="115">
        <v>2490.0381539999998</v>
      </c>
      <c r="X532" s="115">
        <f t="shared" si="104"/>
        <v>1870018.6536539998</v>
      </c>
      <c r="Y532" s="261" t="s">
        <v>5098</v>
      </c>
      <c r="AA532" t="s">
        <v>25</v>
      </c>
    </row>
    <row r="533" spans="18:28">
      <c r="R533" s="97" t="s">
        <v>6457</v>
      </c>
      <c r="S533" s="93">
        <v>1105777.5430340001</v>
      </c>
      <c r="U533" s="19" t="s">
        <v>7087</v>
      </c>
      <c r="V533" s="19">
        <v>44</v>
      </c>
      <c r="W533" s="115">
        <v>2664.1462569999999</v>
      </c>
      <c r="X533" s="115">
        <f t="shared" si="104"/>
        <v>117222.435308</v>
      </c>
      <c r="Y533" s="261" t="s">
        <v>5098</v>
      </c>
      <c r="AA533" t="s">
        <v>25</v>
      </c>
    </row>
    <row r="534" spans="18:28">
      <c r="R534" s="97" t="s">
        <v>6461</v>
      </c>
      <c r="S534" s="93">
        <v>2315234.8602510002</v>
      </c>
      <c r="U534" s="19" t="s">
        <v>7091</v>
      </c>
      <c r="V534" s="19">
        <v>717</v>
      </c>
      <c r="W534" s="115">
        <v>2706.9144700000002</v>
      </c>
      <c r="X534" s="115">
        <f t="shared" si="104"/>
        <v>1940857.6749900002</v>
      </c>
      <c r="Y534" s="261" t="s">
        <v>5098</v>
      </c>
    </row>
    <row r="535" spans="18:28">
      <c r="R535" s="97" t="s">
        <v>6463</v>
      </c>
      <c r="S535" s="93">
        <v>4136360.6541840001</v>
      </c>
      <c r="U535" s="19"/>
      <c r="V535" s="19"/>
      <c r="W535" s="115"/>
      <c r="X535" s="115">
        <f t="shared" si="104"/>
        <v>0</v>
      </c>
      <c r="Y535" s="261"/>
      <c r="Z535" t="s">
        <v>25</v>
      </c>
    </row>
    <row r="536" spans="18:28">
      <c r="R536" s="97" t="s">
        <v>6465</v>
      </c>
      <c r="S536" s="93">
        <v>3035714.4702960001</v>
      </c>
      <c r="U536" s="19"/>
      <c r="V536" s="19"/>
      <c r="W536" s="115"/>
      <c r="X536" s="115">
        <f t="shared" si="104"/>
        <v>0</v>
      </c>
      <c r="Y536" s="261"/>
      <c r="AA536" t="s">
        <v>25</v>
      </c>
      <c r="AB536" t="s">
        <v>25</v>
      </c>
    </row>
    <row r="537" spans="18:28">
      <c r="R537" s="97" t="s">
        <v>6473</v>
      </c>
      <c r="S537" s="93">
        <v>-179906186.46823201</v>
      </c>
      <c r="U537" s="97"/>
      <c r="V537" s="166"/>
      <c r="W537" s="111"/>
      <c r="X537" s="115">
        <f t="shared" si="104"/>
        <v>0</v>
      </c>
      <c r="Y537" s="97"/>
    </row>
    <row r="538" spans="18:28">
      <c r="R538" s="97" t="s">
        <v>6478</v>
      </c>
      <c r="S538" s="93">
        <v>345069.28943499998</v>
      </c>
      <c r="U538" s="166"/>
      <c r="V538" s="166">
        <f>SUM(V174:V537)</f>
        <v>4322521</v>
      </c>
      <c r="W538" s="97"/>
      <c r="X538" s="97"/>
      <c r="Y538" s="97"/>
    </row>
    <row r="539" spans="18:28">
      <c r="R539" s="97" t="s">
        <v>6570</v>
      </c>
      <c r="S539" s="93">
        <v>567785.37859199999</v>
      </c>
      <c r="U539" s="97"/>
      <c r="V539" s="97" t="s">
        <v>6</v>
      </c>
      <c r="W539" s="97"/>
      <c r="X539" s="97"/>
      <c r="Y539" s="97"/>
    </row>
    <row r="540" spans="18:28">
      <c r="R540" s="97" t="s">
        <v>6581</v>
      </c>
      <c r="S540" s="93">
        <v>189683.91675</v>
      </c>
      <c r="U540" s="197" t="s">
        <v>4433</v>
      </c>
    </row>
    <row r="541" spans="18:28">
      <c r="R541" s="97" t="s">
        <v>6582</v>
      </c>
      <c r="S541" s="93">
        <v>10000000</v>
      </c>
      <c r="U541" s="196">
        <f>S190/V538</f>
        <v>2526.9334417114455</v>
      </c>
      <c r="Y541" t="s">
        <v>25</v>
      </c>
    </row>
    <row r="542" spans="18:28">
      <c r="R542" s="97" t="s">
        <v>6582</v>
      </c>
      <c r="S542" s="93">
        <v>519135.75707200001</v>
      </c>
      <c r="X542" s="112"/>
    </row>
    <row r="543" spans="18:28">
      <c r="R543" s="97" t="s">
        <v>6588</v>
      </c>
      <c r="S543" s="93">
        <v>3406413.9029760002</v>
      </c>
      <c r="V543" s="94" t="s">
        <v>267</v>
      </c>
      <c r="W543" t="s">
        <v>4434</v>
      </c>
      <c r="Y543" t="s">
        <v>25</v>
      </c>
      <c r="AA543" t="s">
        <v>25</v>
      </c>
    </row>
    <row r="544" spans="18:28">
      <c r="R544" s="97" t="s">
        <v>6590</v>
      </c>
      <c r="S544" s="93">
        <v>435036.348168</v>
      </c>
      <c r="U544" s="112"/>
      <c r="V544" s="93">
        <v>-1943451</v>
      </c>
      <c r="W544">
        <f>V544/U541</f>
        <v>-769.09465359077137</v>
      </c>
      <c r="Y544" t="s">
        <v>25</v>
      </c>
    </row>
    <row r="545" spans="18:25">
      <c r="R545" s="97" t="s">
        <v>6629</v>
      </c>
      <c r="S545" s="93">
        <v>2321535.4633200001</v>
      </c>
      <c r="U545" t="s">
        <v>25</v>
      </c>
      <c r="Y545" t="s">
        <v>25</v>
      </c>
    </row>
    <row r="546" spans="18:25">
      <c r="R546" s="97" t="s">
        <v>6910</v>
      </c>
      <c r="S546" s="93">
        <v>1098146.8035800001</v>
      </c>
      <c r="U546" t="s">
        <v>25</v>
      </c>
      <c r="V546" s="94" t="s">
        <v>25</v>
      </c>
      <c r="W546" s="22"/>
      <c r="X546" s="213"/>
      <c r="Y546" s="270" t="s">
        <v>25</v>
      </c>
    </row>
    <row r="547" spans="18:25">
      <c r="R547" s="97" t="s">
        <v>6915</v>
      </c>
      <c r="S547" s="93">
        <v>540424.560405</v>
      </c>
      <c r="W547" t="s">
        <v>25</v>
      </c>
      <c r="X547" s="94" t="s">
        <v>25</v>
      </c>
      <c r="Y547" t="s">
        <v>25</v>
      </c>
    </row>
    <row r="548" spans="18:25">
      <c r="R548" s="97" t="s">
        <v>6917</v>
      </c>
      <c r="S548" s="93">
        <v>2781712.2405709997</v>
      </c>
      <c r="U548" t="s">
        <v>25</v>
      </c>
      <c r="X548" s="112"/>
      <c r="Y548" t="s">
        <v>25</v>
      </c>
    </row>
    <row r="549" spans="18:25">
      <c r="R549" s="97" t="s">
        <v>6920</v>
      </c>
      <c r="S549" s="93">
        <v>159680.86334900002</v>
      </c>
      <c r="U549" s="22"/>
      <c r="W549" s="213"/>
    </row>
    <row r="550" spans="18:25">
      <c r="R550" s="97" t="s">
        <v>6946</v>
      </c>
      <c r="S550" s="93">
        <v>13945790.265610002</v>
      </c>
      <c r="U550" s="22"/>
      <c r="X550" s="270"/>
    </row>
    <row r="551" spans="18:25">
      <c r="R551" s="97" t="s">
        <v>6948</v>
      </c>
      <c r="S551" s="93">
        <v>457914.84466800001</v>
      </c>
    </row>
    <row r="552" spans="18:25">
      <c r="R552" s="97" t="s">
        <v>6950</v>
      </c>
      <c r="S552" s="93">
        <v>974570.33942399989</v>
      </c>
    </row>
    <row r="553" spans="18:25">
      <c r="R553" s="97" t="s">
        <v>6952</v>
      </c>
      <c r="S553" s="93">
        <v>746198.52596400003</v>
      </c>
      <c r="U553" s="97" t="s">
        <v>4435</v>
      </c>
      <c r="V553" s="97" t="s">
        <v>4416</v>
      </c>
      <c r="W553" s="97" t="s">
        <v>936</v>
      </c>
      <c r="X553" s="413"/>
    </row>
    <row r="554" spans="18:25">
      <c r="R554" s="97" t="s">
        <v>6955</v>
      </c>
      <c r="S554" s="93">
        <v>416108</v>
      </c>
      <c r="U554" s="93">
        <f>T243+S314+S568</f>
        <v>2393894296.4549041</v>
      </c>
      <c r="V554" s="93">
        <f>S190</f>
        <v>10922722867.4</v>
      </c>
      <c r="W554" s="93">
        <f>V554-U554</f>
        <v>8528828570.9450951</v>
      </c>
    </row>
    <row r="555" spans="18:25">
      <c r="R555" s="97" t="s">
        <v>6970</v>
      </c>
      <c r="S555" s="93">
        <v>361620.57555000001</v>
      </c>
      <c r="X555" s="94" t="s">
        <v>25</v>
      </c>
    </row>
    <row r="556" spans="18:25">
      <c r="R556" s="97" t="s">
        <v>6971</v>
      </c>
      <c r="S556" s="93">
        <v>761310.51884999999</v>
      </c>
    </row>
    <row r="557" spans="18:25">
      <c r="R557" s="97" t="s">
        <v>6974</v>
      </c>
      <c r="S557" s="93">
        <v>3047100.3041699999</v>
      </c>
      <c r="U557" s="112"/>
      <c r="W557" s="112"/>
    </row>
    <row r="558" spans="18:25">
      <c r="R558" s="97" t="s">
        <v>6977</v>
      </c>
      <c r="S558" s="93">
        <v>2437078.451072</v>
      </c>
    </row>
    <row r="559" spans="18:25">
      <c r="R559" s="97" t="s">
        <v>7059</v>
      </c>
      <c r="S559" s="93">
        <v>7747639.4065840002</v>
      </c>
      <c r="U559" s="112"/>
    </row>
    <row r="560" spans="18:25">
      <c r="R560" s="97" t="s">
        <v>7061</v>
      </c>
      <c r="S560" s="93">
        <v>5584918.3522559991</v>
      </c>
    </row>
    <row r="561" spans="18:25">
      <c r="R561" s="97" t="s">
        <v>7063</v>
      </c>
      <c r="S561" s="93">
        <v>573666.77206800005</v>
      </c>
      <c r="U561" s="112" t="s">
        <v>25</v>
      </c>
    </row>
    <row r="562" spans="18:25">
      <c r="R562" s="97" t="s">
        <v>7076</v>
      </c>
      <c r="S562" s="93">
        <v>1870018.6536539998</v>
      </c>
      <c r="U562" t="s">
        <v>25</v>
      </c>
    </row>
    <row r="563" spans="18:25">
      <c r="R563" s="97" t="s">
        <v>7087</v>
      </c>
      <c r="S563" s="93">
        <v>117222.435308</v>
      </c>
      <c r="U563" t="s">
        <v>25</v>
      </c>
      <c r="Y563" s="112"/>
    </row>
    <row r="564" spans="18:25">
      <c r="R564" s="97" t="s">
        <v>7091</v>
      </c>
      <c r="S564" s="93">
        <v>1940857.6749900002</v>
      </c>
      <c r="X564" s="94" t="s">
        <v>25</v>
      </c>
    </row>
    <row r="565" spans="18:25">
      <c r="R565" s="97"/>
      <c r="S565" s="93"/>
      <c r="U565" t="s">
        <v>25</v>
      </c>
    </row>
    <row r="566" spans="18:25">
      <c r="R566" s="97" t="s">
        <v>25</v>
      </c>
      <c r="S566" s="93"/>
      <c r="U566" t="s">
        <v>25</v>
      </c>
    </row>
    <row r="567" spans="18:25">
      <c r="R567" s="97" t="s">
        <v>25</v>
      </c>
      <c r="S567" s="97" t="s">
        <v>25</v>
      </c>
      <c r="U567" s="413" t="s">
        <v>25</v>
      </c>
      <c r="V567" s="413"/>
      <c r="W567" s="413"/>
    </row>
    <row r="568" spans="18:25">
      <c r="R568" s="97"/>
      <c r="S568" s="93">
        <f>SUM(S319:S567)</f>
        <v>2107413716.889641</v>
      </c>
      <c r="U568" s="413" t="s">
        <v>25</v>
      </c>
      <c r="V568" s="413"/>
      <c r="W568" s="413"/>
      <c r="X568" s="94" t="s">
        <v>25</v>
      </c>
    </row>
    <row r="569" spans="18:25">
      <c r="S569" s="97" t="s">
        <v>6</v>
      </c>
      <c r="U569" s="413"/>
      <c r="V569" s="413"/>
      <c r="W569" s="413"/>
      <c r="Y569" t="s">
        <v>25</v>
      </c>
    </row>
    <row r="570" spans="18:25">
      <c r="U570" s="413"/>
      <c r="V570" s="413"/>
      <c r="W570" s="413" t="s">
        <v>25</v>
      </c>
    </row>
    <row r="571" spans="18:25">
      <c r="R571" t="s">
        <v>25</v>
      </c>
      <c r="U571" s="413"/>
      <c r="V571" s="413"/>
      <c r="W571" s="413"/>
    </row>
    <row r="572" spans="18:25">
      <c r="R572" t="s">
        <v>25</v>
      </c>
      <c r="U572" s="413"/>
      <c r="V572" s="413"/>
      <c r="W572" s="413"/>
    </row>
    <row r="573" spans="18:25">
      <c r="R573" t="s">
        <v>25</v>
      </c>
      <c r="S573" t="s">
        <v>25</v>
      </c>
      <c r="U573" s="413"/>
      <c r="V573" s="413"/>
      <c r="W573" s="413"/>
    </row>
    <row r="574" spans="18:25">
      <c r="R574" t="s">
        <v>25</v>
      </c>
      <c r="S574" t="s">
        <v>25</v>
      </c>
      <c r="U574" s="413"/>
      <c r="V574" s="413"/>
      <c r="W574" s="413"/>
    </row>
    <row r="575" spans="18:25">
      <c r="R575" s="112"/>
      <c r="S575" t="s">
        <v>25</v>
      </c>
      <c r="U575" s="413"/>
      <c r="V575" s="413"/>
      <c r="W575" s="413"/>
    </row>
    <row r="576" spans="18:25">
      <c r="U576" s="413"/>
      <c r="V576" s="413"/>
      <c r="W576" s="413"/>
    </row>
    <row r="577" spans="18:25">
      <c r="S577" t="s">
        <v>25</v>
      </c>
      <c r="U577" s="413"/>
      <c r="V577" s="413"/>
      <c r="W577" s="413"/>
    </row>
    <row r="578" spans="18:25">
      <c r="R578" t="s">
        <v>25</v>
      </c>
      <c r="U578" s="413"/>
      <c r="V578" s="413"/>
      <c r="W578" s="413"/>
      <c r="Y578" t="s">
        <v>25</v>
      </c>
    </row>
    <row r="579" spans="18:25">
      <c r="U579" s="413"/>
      <c r="V579" s="413"/>
      <c r="W579" s="413"/>
    </row>
    <row r="580" spans="18:25">
      <c r="U580" s="413"/>
      <c r="V580" s="413"/>
      <c r="W580" s="413"/>
    </row>
    <row r="581" spans="18:25">
      <c r="U581" s="413"/>
      <c r="V581" s="413"/>
      <c r="W581" s="413"/>
    </row>
    <row r="583" spans="18:25">
      <c r="U583" s="94"/>
      <c r="W583" s="94"/>
    </row>
    <row r="584" spans="18:25">
      <c r="U584" s="94"/>
      <c r="W584" s="94"/>
      <c r="X584" s="112"/>
    </row>
    <row r="585" spans="18:25">
      <c r="U585" s="94"/>
      <c r="W585" s="94"/>
    </row>
    <row r="586" spans="18:25">
      <c r="U586" s="94"/>
      <c r="W586" s="94"/>
    </row>
    <row r="588" spans="18:25">
      <c r="V588" s="112"/>
    </row>
  </sheetData>
  <mergeCells count="1">
    <mergeCell ref="J104:K104"/>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05:G107 G138 G149:G151 G334:G1048576 G323:G329 G120:G125 G164:G178">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8:T119 T121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opLeftCell="A25" zoomScale="80" zoomScaleNormal="80" workbookViewId="0">
      <selection activeCell="R35" sqref="R35"/>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3" t="s">
        <v>5713</v>
      </c>
      <c r="B1" s="393" t="s">
        <v>4358</v>
      </c>
      <c r="C1" s="295">
        <v>16940</v>
      </c>
      <c r="D1" s="393">
        <v>3336</v>
      </c>
      <c r="E1" s="383" t="s">
        <v>4354</v>
      </c>
      <c r="F1" s="382">
        <v>13604</v>
      </c>
      <c r="G1" s="383">
        <f t="shared" ref="G1:G42" si="0">C1*D1*0.99114/(F1*1.0037158)</f>
        <v>4102.0133326251707</v>
      </c>
      <c r="H1" s="383">
        <f t="shared" ref="H1:H38" si="1">C1/F1</f>
        <v>1.2452219935313142</v>
      </c>
      <c r="I1" s="384">
        <f>$R$31/$R$32</f>
        <v>1.1673151750972763</v>
      </c>
      <c r="J1" s="394">
        <f t="shared" ref="J1:J38" si="2">I1/H1</f>
        <v>0.93743539799429443</v>
      </c>
      <c r="K1" s="32">
        <f t="shared" ref="K1:K39" si="3">(1/J1-1.0256)*100</f>
        <v>4.1140174458492496</v>
      </c>
      <c r="L1" s="394"/>
      <c r="M1" s="394"/>
      <c r="N1" s="394">
        <v>1</v>
      </c>
      <c r="O1" s="40"/>
      <c r="P1" s="40"/>
      <c r="S1" s="94"/>
      <c r="T1" s="94"/>
      <c r="U1" s="94"/>
      <c r="V1" s="94"/>
      <c r="W1" s="94"/>
      <c r="X1" s="113"/>
      <c r="Y1" s="113"/>
      <c r="Z1" s="113"/>
      <c r="AA1" s="94"/>
      <c r="AB1" s="94"/>
      <c r="AC1" s="94"/>
    </row>
    <row r="2" spans="1:29">
      <c r="A2" s="393" t="s">
        <v>5721</v>
      </c>
      <c r="B2" s="393" t="s">
        <v>4358</v>
      </c>
      <c r="C2" s="295">
        <v>19359</v>
      </c>
      <c r="D2" s="393">
        <v>3498</v>
      </c>
      <c r="E2" s="383" t="s">
        <v>4354</v>
      </c>
      <c r="F2" s="382">
        <v>14680</v>
      </c>
      <c r="G2" s="383">
        <f t="shared" si="0"/>
        <v>4555.1314303341615</v>
      </c>
      <c r="H2" s="383">
        <f t="shared" si="1"/>
        <v>1.3187329700272479</v>
      </c>
      <c r="I2" s="384">
        <f>$R$31/$R$32</f>
        <v>1.1673151750972763</v>
      </c>
      <c r="J2" s="394">
        <f>I2/H2</f>
        <v>0.88517933624815426</v>
      </c>
      <c r="K2" s="32">
        <f t="shared" si="3"/>
        <v>10.411457765667542</v>
      </c>
      <c r="L2" s="394" t="s">
        <v>25</v>
      </c>
      <c r="M2" s="394"/>
      <c r="N2" s="394">
        <f>H2/H1</f>
        <v>1.059034434725542</v>
      </c>
      <c r="O2" s="40"/>
      <c r="P2" s="40"/>
      <c r="S2" s="94"/>
      <c r="T2" s="112"/>
      <c r="U2" s="94"/>
      <c r="V2" s="94"/>
      <c r="W2" s="94"/>
      <c r="X2" s="113"/>
      <c r="Y2" s="113"/>
      <c r="Z2" s="113"/>
      <c r="AA2" s="94"/>
      <c r="AB2" s="94"/>
      <c r="AC2" s="94"/>
    </row>
    <row r="3" spans="1:29">
      <c r="A3" s="393" t="s">
        <v>5721</v>
      </c>
      <c r="B3" s="393" t="s">
        <v>4358</v>
      </c>
      <c r="C3" s="295">
        <v>19359</v>
      </c>
      <c r="D3" s="393">
        <v>3611</v>
      </c>
      <c r="E3" s="383" t="s">
        <v>4354</v>
      </c>
      <c r="F3" s="382">
        <v>14544</v>
      </c>
      <c r="G3" s="383">
        <f t="shared" si="0"/>
        <v>4746.2519139820852</v>
      </c>
      <c r="H3" s="383">
        <f t="shared" si="1"/>
        <v>1.3310643564356435</v>
      </c>
      <c r="I3" s="384">
        <f>$R$31/$R$32</f>
        <v>1.1673151750972763</v>
      </c>
      <c r="J3" s="394">
        <f t="shared" si="2"/>
        <v>0.87697876474067815</v>
      </c>
      <c r="K3" s="32">
        <f t="shared" si="3"/>
        <v>11.467846534653447</v>
      </c>
      <c r="L3" s="394"/>
      <c r="M3" s="394"/>
      <c r="N3" s="394">
        <f>H3/H2</f>
        <v>1.0093509350935093</v>
      </c>
      <c r="O3" s="40"/>
      <c r="P3" s="40"/>
      <c r="S3" s="113"/>
      <c r="T3" s="113"/>
      <c r="U3" s="113"/>
      <c r="V3" s="113"/>
      <c r="W3" s="113"/>
      <c r="X3" s="113"/>
      <c r="Y3" s="113"/>
      <c r="Z3" s="113"/>
      <c r="AA3" s="113"/>
      <c r="AB3" s="113"/>
      <c r="AC3" s="113"/>
    </row>
    <row r="4" spans="1:29" ht="19.5">
      <c r="A4" s="393" t="s">
        <v>5721</v>
      </c>
      <c r="B4" s="393" t="s">
        <v>4358</v>
      </c>
      <c r="C4" s="295">
        <v>19360.400000000001</v>
      </c>
      <c r="D4" s="393">
        <v>32968</v>
      </c>
      <c r="E4" s="388" t="s">
        <v>4216</v>
      </c>
      <c r="F4" s="385">
        <v>1216</v>
      </c>
      <c r="G4" s="395">
        <f t="shared" si="0"/>
        <v>518319.556570485</v>
      </c>
      <c r="H4" s="386">
        <f t="shared" si="1"/>
        <v>15.92138157894737</v>
      </c>
      <c r="I4" s="387">
        <f t="shared" ref="I4:I10" si="4">$R$31/$R$28</f>
        <v>14.583333333333334</v>
      </c>
      <c r="J4" s="32">
        <f t="shared" si="2"/>
        <v>0.91595903665902212</v>
      </c>
      <c r="K4" s="32">
        <f t="shared" si="3"/>
        <v>6.6151879699248184</v>
      </c>
      <c r="L4" s="32"/>
      <c r="M4" s="32"/>
      <c r="N4" s="396">
        <v>1</v>
      </c>
      <c r="O4" s="40"/>
      <c r="P4" s="191"/>
      <c r="S4" s="113"/>
      <c r="T4" s="113"/>
      <c r="U4" s="113"/>
      <c r="AA4" s="113"/>
      <c r="AB4" s="113"/>
      <c r="AC4" s="113"/>
    </row>
    <row r="5" spans="1:29" ht="19.5">
      <c r="A5" s="393" t="s">
        <v>5723</v>
      </c>
      <c r="B5" s="393" t="s">
        <v>4358</v>
      </c>
      <c r="C5" s="295">
        <v>19361</v>
      </c>
      <c r="D5" s="393">
        <v>7994</v>
      </c>
      <c r="E5" s="388" t="s">
        <v>4216</v>
      </c>
      <c r="F5" s="385">
        <v>1198</v>
      </c>
      <c r="G5" s="395">
        <f t="shared" si="0"/>
        <v>127573.17191394574</v>
      </c>
      <c r="H5" s="386">
        <f t="shared" si="1"/>
        <v>16.161101836393989</v>
      </c>
      <c r="I5" s="387">
        <f t="shared" si="4"/>
        <v>14.583333333333334</v>
      </c>
      <c r="J5" s="32">
        <f t="shared" si="2"/>
        <v>0.9023724669868981</v>
      </c>
      <c r="K5" s="32">
        <f t="shared" si="3"/>
        <v>8.2589840209873486</v>
      </c>
      <c r="L5" s="32"/>
      <c r="M5" s="32"/>
      <c r="N5" s="396">
        <f>H5/H4</f>
        <v>1.0150564984739514</v>
      </c>
      <c r="O5" s="40"/>
      <c r="P5" s="191"/>
      <c r="S5" s="113"/>
      <c r="T5" s="113"/>
      <c r="U5" s="113"/>
      <c r="AA5" s="113"/>
      <c r="AB5" s="113"/>
      <c r="AC5" s="113"/>
    </row>
    <row r="6" spans="1:29" ht="19.5">
      <c r="A6" s="393" t="s">
        <v>5724</v>
      </c>
      <c r="B6" s="393" t="s">
        <v>4358</v>
      </c>
      <c r="C6" s="295">
        <v>19361</v>
      </c>
      <c r="D6" s="393">
        <v>3244</v>
      </c>
      <c r="E6" s="388" t="s">
        <v>4216</v>
      </c>
      <c r="F6" s="385">
        <v>1188</v>
      </c>
      <c r="G6" s="395">
        <f t="shared" si="0"/>
        <v>52205.52081645729</v>
      </c>
      <c r="H6" s="386">
        <f t="shared" si="1"/>
        <v>16.297138047138048</v>
      </c>
      <c r="I6" s="387">
        <f t="shared" si="4"/>
        <v>14.583333333333334</v>
      </c>
      <c r="J6" s="32">
        <f t="shared" si="2"/>
        <v>0.89484014255462008</v>
      </c>
      <c r="K6" s="32">
        <f t="shared" si="3"/>
        <v>9.1918037518037501</v>
      </c>
      <c r="L6" s="32"/>
      <c r="M6" s="32"/>
      <c r="N6" s="396">
        <f>H6/H5</f>
        <v>1.0084175084175087</v>
      </c>
      <c r="O6" s="40"/>
      <c r="P6" s="191"/>
      <c r="S6" s="113"/>
      <c r="T6" s="113"/>
      <c r="U6" s="113"/>
      <c r="X6" s="113"/>
      <c r="Y6" s="113"/>
      <c r="Z6" s="113"/>
      <c r="AA6" s="113"/>
      <c r="AB6" s="113"/>
      <c r="AC6" s="113"/>
    </row>
    <row r="7" spans="1:29" ht="19.5">
      <c r="A7" s="393" t="s">
        <v>5721</v>
      </c>
      <c r="B7" s="393" t="s">
        <v>4358</v>
      </c>
      <c r="C7" s="295">
        <v>19360.64</v>
      </c>
      <c r="D7" s="393">
        <v>19092</v>
      </c>
      <c r="E7" s="388" t="s">
        <v>4216</v>
      </c>
      <c r="F7" s="385">
        <v>1184</v>
      </c>
      <c r="G7" s="395">
        <f t="shared" ref="G7:G10" si="5">C7*D7*0.99114/(F7*1.0037158)</f>
        <v>308278.8113575576</v>
      </c>
      <c r="H7" s="386">
        <f t="shared" ref="H7:H10" si="6">C7/F7</f>
        <v>16.351891891891892</v>
      </c>
      <c r="I7" s="387">
        <f t="shared" si="4"/>
        <v>14.583333333333334</v>
      </c>
      <c r="J7" s="32">
        <f t="shared" ref="J7:J9" si="7">I7/H7</f>
        <v>0.89184379579738415</v>
      </c>
      <c r="K7" s="32">
        <f t="shared" ref="K7:K9" si="8">(1/J7-1.0256)*100</f>
        <v>9.567258687258672</v>
      </c>
      <c r="L7" s="32"/>
      <c r="M7" s="32"/>
      <c r="N7" s="396">
        <f t="shared" ref="N7:N9" si="9">H7/H6</f>
        <v>1.0033597214796532</v>
      </c>
      <c r="O7" s="40"/>
      <c r="P7" s="191" t="s">
        <v>25</v>
      </c>
      <c r="S7" s="113"/>
      <c r="T7" s="113"/>
      <c r="U7" s="113"/>
      <c r="V7" s="113"/>
      <c r="W7" s="113"/>
      <c r="X7" s="113"/>
      <c r="Y7" s="113"/>
      <c r="Z7" s="113"/>
      <c r="AA7" s="113"/>
      <c r="AB7" s="113"/>
      <c r="AC7" s="113"/>
    </row>
    <row r="8" spans="1:29" ht="19.5">
      <c r="A8" s="393" t="s">
        <v>6610</v>
      </c>
      <c r="B8" s="393" t="s">
        <v>4358</v>
      </c>
      <c r="C8" s="295">
        <v>24630.9</v>
      </c>
      <c r="D8" s="393">
        <v>1137</v>
      </c>
      <c r="E8" s="388" t="s">
        <v>4216</v>
      </c>
      <c r="F8" s="385">
        <v>1628</v>
      </c>
      <c r="G8" s="395">
        <f t="shared" si="5"/>
        <v>16986.761456009037</v>
      </c>
      <c r="H8" s="386">
        <f t="shared" si="6"/>
        <v>15.129545454545456</v>
      </c>
      <c r="I8" s="387">
        <f t="shared" si="4"/>
        <v>14.583333333333334</v>
      </c>
      <c r="J8" s="32">
        <f t="shared" si="7"/>
        <v>0.96389765159481244</v>
      </c>
      <c r="K8" s="32">
        <f t="shared" si="8"/>
        <v>1.185454545454534</v>
      </c>
      <c r="L8" s="32"/>
      <c r="M8" s="32"/>
      <c r="N8" s="396">
        <f t="shared" si="9"/>
        <v>0.92524739978543169</v>
      </c>
      <c r="O8" s="40"/>
      <c r="P8" s="191"/>
      <c r="S8" s="113"/>
      <c r="T8" s="113"/>
      <c r="U8" s="113"/>
      <c r="V8" s="113"/>
      <c r="W8" s="113"/>
      <c r="Y8" t="s">
        <v>25</v>
      </c>
      <c r="AA8" s="113"/>
      <c r="AB8" s="113"/>
      <c r="AC8" s="113"/>
    </row>
    <row r="9" spans="1:29" ht="19.5">
      <c r="A9" s="393" t="s">
        <v>6625</v>
      </c>
      <c r="B9" s="393" t="s">
        <v>4358</v>
      </c>
      <c r="C9" s="295">
        <v>24498.3</v>
      </c>
      <c r="D9" s="393">
        <v>250</v>
      </c>
      <c r="E9" s="388" t="s">
        <v>4216</v>
      </c>
      <c r="F9" s="385">
        <v>1523</v>
      </c>
      <c r="G9" s="395">
        <f t="shared" si="5"/>
        <v>3971.0037468382338</v>
      </c>
      <c r="H9" s="386">
        <f t="shared" si="6"/>
        <v>16.085554826001314</v>
      </c>
      <c r="I9" s="387">
        <f t="shared" si="4"/>
        <v>14.583333333333334</v>
      </c>
      <c r="J9" s="32">
        <f t="shared" si="7"/>
        <v>0.90661052671681985</v>
      </c>
      <c r="K9" s="32">
        <f t="shared" si="8"/>
        <v>7.7409473782947158</v>
      </c>
      <c r="L9" s="32"/>
      <c r="M9" s="32"/>
      <c r="N9" s="396">
        <f t="shared" si="9"/>
        <v>1.0631882414662126</v>
      </c>
      <c r="O9" s="40"/>
      <c r="P9" s="191"/>
      <c r="S9" s="113"/>
      <c r="T9" s="113"/>
      <c r="U9" s="113"/>
    </row>
    <row r="10" spans="1:29" ht="19.5">
      <c r="A10" s="393" t="s">
        <v>6627</v>
      </c>
      <c r="B10" s="393" t="s">
        <v>4358</v>
      </c>
      <c r="C10" s="295">
        <v>25196.5</v>
      </c>
      <c r="D10" s="393">
        <v>613</v>
      </c>
      <c r="E10" s="388" t="s">
        <v>4216</v>
      </c>
      <c r="F10" s="385">
        <v>1542</v>
      </c>
      <c r="G10" s="395">
        <f t="shared" si="5"/>
        <v>9891.0081935249291</v>
      </c>
      <c r="H10" s="386">
        <f t="shared" si="6"/>
        <v>16.340142671854736</v>
      </c>
      <c r="I10" s="387">
        <f t="shared" si="4"/>
        <v>14.583333333333334</v>
      </c>
      <c r="J10" s="32">
        <f>I10/H10</f>
        <v>0.89248506737046807</v>
      </c>
      <c r="K10" s="32">
        <f t="shared" ref="K10" si="10">(1/J10-1.0256)*100</f>
        <v>9.4866926070038993</v>
      </c>
      <c r="L10" s="32"/>
      <c r="M10" s="32"/>
      <c r="N10" s="396">
        <f t="shared" ref="N10" si="11">H10/H9</f>
        <v>1.015827110013134</v>
      </c>
      <c r="O10" s="40"/>
      <c r="P10" s="191" t="s">
        <v>25</v>
      </c>
      <c r="Q10" s="349" t="s">
        <v>7115</v>
      </c>
      <c r="R10" s="349"/>
      <c r="S10" s="113"/>
      <c r="T10" s="113"/>
    </row>
    <row r="11" spans="1:29">
      <c r="A11" s="383" t="s">
        <v>5755</v>
      </c>
      <c r="B11" s="383" t="s">
        <v>4354</v>
      </c>
      <c r="C11" s="382">
        <v>11988</v>
      </c>
      <c r="D11" s="383">
        <v>667</v>
      </c>
      <c r="E11" s="388" t="s">
        <v>4216</v>
      </c>
      <c r="F11" s="385">
        <v>1163</v>
      </c>
      <c r="G11" s="388">
        <f t="shared" si="0"/>
        <v>6789.1764543476174</v>
      </c>
      <c r="H11" s="388">
        <f t="shared" si="1"/>
        <v>10.307824591573517</v>
      </c>
      <c r="I11" s="387">
        <f t="shared" ref="I11:I25" si="12">$R$32/$R$28</f>
        <v>12.493055555555555</v>
      </c>
      <c r="J11" s="394">
        <f>I11/H11</f>
        <v>1.21199729822415</v>
      </c>
      <c r="K11" s="394">
        <f>(1/J11-1.0256)*100</f>
        <v>-20.051565248105263</v>
      </c>
      <c r="L11" s="394"/>
      <c r="M11" s="394"/>
      <c r="N11" s="394">
        <v>1</v>
      </c>
      <c r="O11" s="40"/>
      <c r="P11" s="191"/>
      <c r="Q11" s="113"/>
      <c r="R11" s="113"/>
    </row>
    <row r="12" spans="1:29">
      <c r="A12" s="383" t="s">
        <v>5757</v>
      </c>
      <c r="B12" s="383" t="s">
        <v>4354</v>
      </c>
      <c r="C12" s="382">
        <v>11872</v>
      </c>
      <c r="D12" s="383">
        <v>1116</v>
      </c>
      <c r="E12" s="388" t="s">
        <v>4216</v>
      </c>
      <c r="F12" s="385">
        <v>1142</v>
      </c>
      <c r="G12" s="388">
        <f t="shared" si="0"/>
        <v>11456.348637456234</v>
      </c>
      <c r="H12" s="388">
        <f t="shared" si="1"/>
        <v>10.395796847635728</v>
      </c>
      <c r="I12" s="387">
        <f t="shared" si="12"/>
        <v>12.493055555555555</v>
      </c>
      <c r="J12" s="394">
        <f t="shared" si="2"/>
        <v>1.2017410246331235</v>
      </c>
      <c r="K12" s="394">
        <f t="shared" si="3"/>
        <v>-19.347395994466666</v>
      </c>
      <c r="L12" s="394"/>
      <c r="M12" s="394"/>
      <c r="N12" s="394">
        <f t="shared" ref="N12:N20" si="13">H12/H11</f>
        <v>1.0085345123290248</v>
      </c>
      <c r="O12" s="40"/>
      <c r="P12" s="40" t="s">
        <v>25</v>
      </c>
      <c r="X12" t="s">
        <v>25</v>
      </c>
    </row>
    <row r="13" spans="1:29">
      <c r="A13" s="383" t="s">
        <v>5758</v>
      </c>
      <c r="B13" s="383" t="s">
        <v>4354</v>
      </c>
      <c r="C13" s="382">
        <v>11872</v>
      </c>
      <c r="D13" s="383">
        <v>1116</v>
      </c>
      <c r="E13" s="388" t="s">
        <v>4216</v>
      </c>
      <c r="F13" s="385">
        <v>1131</v>
      </c>
      <c r="G13" s="388">
        <f t="shared" si="0"/>
        <v>11567.772010587991</v>
      </c>
      <c r="H13" s="388">
        <f t="shared" si="1"/>
        <v>10.496905393457117</v>
      </c>
      <c r="I13" s="387">
        <f t="shared" si="12"/>
        <v>12.493055555555555</v>
      </c>
      <c r="J13" s="394">
        <f t="shared" si="2"/>
        <v>1.1901655856918238</v>
      </c>
      <c r="K13" s="394">
        <f t="shared" si="3"/>
        <v>-18.538078006791281</v>
      </c>
      <c r="L13" s="394"/>
      <c r="M13" s="394"/>
      <c r="N13" s="394">
        <f t="shared" si="13"/>
        <v>1.0097259062776303</v>
      </c>
      <c r="O13" s="40"/>
      <c r="P13" s="40"/>
      <c r="W13" t="s">
        <v>25</v>
      </c>
    </row>
    <row r="14" spans="1:29">
      <c r="A14" s="383" t="s">
        <v>5760</v>
      </c>
      <c r="B14" s="383" t="s">
        <v>4354</v>
      </c>
      <c r="C14" s="382">
        <v>11380</v>
      </c>
      <c r="D14" s="383">
        <v>1116</v>
      </c>
      <c r="E14" s="388" t="s">
        <v>4216</v>
      </c>
      <c r="F14" s="385">
        <v>1070</v>
      </c>
      <c r="G14" s="388">
        <f t="shared" si="0"/>
        <v>11720.521122379818</v>
      </c>
      <c r="H14" s="388">
        <f t="shared" si="1"/>
        <v>10.635514018691589</v>
      </c>
      <c r="I14" s="387">
        <f t="shared" si="12"/>
        <v>12.493055555555555</v>
      </c>
      <c r="J14" s="394">
        <f t="shared" si="2"/>
        <v>1.1746546084749072</v>
      </c>
      <c r="K14" s="394">
        <f t="shared" si="3"/>
        <v>-17.428592624147377</v>
      </c>
      <c r="L14" s="394"/>
      <c r="M14" s="394"/>
      <c r="N14" s="394">
        <f t="shared" si="13"/>
        <v>1.013204713202509</v>
      </c>
      <c r="O14" s="40"/>
      <c r="P14" s="40"/>
    </row>
    <row r="15" spans="1:29">
      <c r="A15" s="397" t="s">
        <v>5760</v>
      </c>
      <c r="B15" s="383" t="s">
        <v>4354</v>
      </c>
      <c r="C15" s="382">
        <v>11425</v>
      </c>
      <c r="D15" s="383">
        <v>1116</v>
      </c>
      <c r="E15" s="388" t="s">
        <v>4216</v>
      </c>
      <c r="F15" s="385">
        <v>1083</v>
      </c>
      <c r="G15" s="388">
        <f t="shared" si="0"/>
        <v>11625.62177499628</v>
      </c>
      <c r="H15" s="388">
        <f t="shared" si="1"/>
        <v>10.549399815327794</v>
      </c>
      <c r="I15" s="387">
        <f t="shared" si="12"/>
        <v>12.493055555555555</v>
      </c>
      <c r="J15" s="394">
        <f t="shared" si="2"/>
        <v>1.184243253099927</v>
      </c>
      <c r="K15" s="394">
        <f t="shared" si="3"/>
        <v>-18.117889193596316</v>
      </c>
      <c r="L15" s="394"/>
      <c r="M15" s="394" t="s">
        <v>25</v>
      </c>
      <c r="N15" s="394">
        <f t="shared" si="13"/>
        <v>0.99190314608090857</v>
      </c>
      <c r="O15" s="40"/>
      <c r="P15" s="40"/>
      <c r="Q15" s="97">
        <v>27257.532999999999</v>
      </c>
      <c r="R15" s="97">
        <v>91407</v>
      </c>
    </row>
    <row r="16" spans="1:29">
      <c r="A16" s="397" t="s">
        <v>5761</v>
      </c>
      <c r="B16" s="383" t="s">
        <v>4354</v>
      </c>
      <c r="C16" s="382">
        <v>11446</v>
      </c>
      <c r="D16" s="383">
        <v>1763</v>
      </c>
      <c r="E16" s="388" t="s">
        <v>4216</v>
      </c>
      <c r="F16" s="385">
        <v>1058</v>
      </c>
      <c r="G16" s="388">
        <f t="shared" si="0"/>
        <v>18834.089465901357</v>
      </c>
      <c r="H16" s="388">
        <f t="shared" si="1"/>
        <v>10.818525519848771</v>
      </c>
      <c r="I16" s="387">
        <f t="shared" si="12"/>
        <v>12.493055555555555</v>
      </c>
      <c r="J16" s="394">
        <f t="shared" si="2"/>
        <v>1.1547835731065681</v>
      </c>
      <c r="K16" s="394">
        <f t="shared" si="3"/>
        <v>-15.963686778308904</v>
      </c>
      <c r="L16" s="394"/>
      <c r="M16" s="394"/>
      <c r="N16" s="394">
        <f t="shared" si="13"/>
        <v>1.0255109967611571</v>
      </c>
      <c r="O16" s="40"/>
      <c r="P16" s="40"/>
      <c r="Q16" s="97">
        <f>Q15*R16/R15</f>
        <v>14136.749558906868</v>
      </c>
      <c r="R16" s="97">
        <v>47407</v>
      </c>
      <c r="S16" s="113"/>
    </row>
    <row r="17" spans="1:26">
      <c r="A17" s="397" t="s">
        <v>5768</v>
      </c>
      <c r="B17" s="383" t="s">
        <v>4354</v>
      </c>
      <c r="C17" s="382">
        <v>11450</v>
      </c>
      <c r="D17" s="383">
        <v>1058</v>
      </c>
      <c r="E17" s="388" t="s">
        <v>4216</v>
      </c>
      <c r="F17" s="385">
        <v>1038</v>
      </c>
      <c r="G17" s="388">
        <f t="shared" si="0"/>
        <v>11524.392569604317</v>
      </c>
      <c r="H17" s="388">
        <f t="shared" si="1"/>
        <v>11.03082851637765</v>
      </c>
      <c r="I17" s="387">
        <f t="shared" si="12"/>
        <v>12.493055555555555</v>
      </c>
      <c r="J17" s="394">
        <f t="shared" si="2"/>
        <v>1.1325582241630276</v>
      </c>
      <c r="K17" s="394">
        <f t="shared" si="3"/>
        <v>-14.264318712708091</v>
      </c>
      <c r="L17" s="394"/>
      <c r="M17" s="394"/>
      <c r="N17" s="394">
        <f t="shared" si="13"/>
        <v>1.019624023268177</v>
      </c>
      <c r="O17" s="40"/>
      <c r="P17" s="40"/>
      <c r="Q17" s="97">
        <f>Q15-Q16</f>
        <v>13120.783441093132</v>
      </c>
      <c r="R17" s="97">
        <f>R15-R16</f>
        <v>44000</v>
      </c>
      <c r="S17" s="113"/>
      <c r="U17" t="s">
        <v>25</v>
      </c>
    </row>
    <row r="18" spans="1:26">
      <c r="A18" s="397" t="s">
        <v>5772</v>
      </c>
      <c r="B18" s="383" t="s">
        <v>4354</v>
      </c>
      <c r="C18" s="382">
        <v>11455</v>
      </c>
      <c r="D18" s="383">
        <v>1839</v>
      </c>
      <c r="E18" s="388" t="s">
        <v>4216</v>
      </c>
      <c r="F18" s="385">
        <v>1019</v>
      </c>
      <c r="G18" s="388">
        <f t="shared" si="0"/>
        <v>20413.942241720473</v>
      </c>
      <c r="H18" s="388">
        <f t="shared" si="1"/>
        <v>11.241413150147203</v>
      </c>
      <c r="I18" s="387">
        <f t="shared" si="12"/>
        <v>12.493055555555555</v>
      </c>
      <c r="J18" s="394">
        <f t="shared" si="2"/>
        <v>1.111342087395121</v>
      </c>
      <c r="K18" s="394">
        <f t="shared" si="3"/>
        <v>-12.578705190594929</v>
      </c>
      <c r="L18" s="394"/>
      <c r="M18" s="394"/>
      <c r="N18" s="394">
        <f t="shared" si="13"/>
        <v>1.0190905545722966</v>
      </c>
      <c r="O18" s="40"/>
      <c r="P18" s="40"/>
      <c r="S18" s="113"/>
    </row>
    <row r="19" spans="1:26">
      <c r="A19" s="397" t="s">
        <v>5772</v>
      </c>
      <c r="B19" s="383" t="s">
        <v>4354</v>
      </c>
      <c r="C19" s="382">
        <v>11565</v>
      </c>
      <c r="D19" s="383">
        <v>3348</v>
      </c>
      <c r="E19" s="388" t="s">
        <v>4216</v>
      </c>
      <c r="F19" s="385">
        <v>1021</v>
      </c>
      <c r="G19" s="388">
        <f t="shared" si="0"/>
        <v>37448.082703028624</v>
      </c>
      <c r="H19" s="388">
        <f t="shared" si="1"/>
        <v>11.327130264446621</v>
      </c>
      <c r="I19" s="387">
        <f t="shared" si="12"/>
        <v>12.493055555555555</v>
      </c>
      <c r="J19" s="394">
        <f t="shared" si="2"/>
        <v>1.1029320987654321</v>
      </c>
      <c r="K19" s="394">
        <f t="shared" si="3"/>
        <v>-11.892587099482309</v>
      </c>
      <c r="L19" s="394"/>
      <c r="M19" s="394"/>
      <c r="N19" s="394">
        <f t="shared" si="13"/>
        <v>1.0076251191157668</v>
      </c>
      <c r="O19" s="40"/>
      <c r="P19" s="40"/>
    </row>
    <row r="20" spans="1:26">
      <c r="A20" s="397" t="s">
        <v>5409</v>
      </c>
      <c r="B20" s="383" t="s">
        <v>4354</v>
      </c>
      <c r="C20" s="382">
        <v>11401</v>
      </c>
      <c r="D20" s="383">
        <v>195</v>
      </c>
      <c r="E20" s="388" t="s">
        <v>4216</v>
      </c>
      <c r="F20" s="385">
        <v>988</v>
      </c>
      <c r="G20" s="388">
        <f t="shared" si="0"/>
        <v>2222.0040969135312</v>
      </c>
      <c r="H20" s="388">
        <f t="shared" si="1"/>
        <v>11.539473684210526</v>
      </c>
      <c r="I20" s="387">
        <f t="shared" si="12"/>
        <v>12.493055555555555</v>
      </c>
      <c r="J20" s="394">
        <f>I20/H20</f>
        <v>1.0826365133662739</v>
      </c>
      <c r="K20" s="394">
        <f t="shared" si="3"/>
        <v>-10.192895468242591</v>
      </c>
      <c r="L20" s="394"/>
      <c r="M20" s="394"/>
      <c r="N20" s="394">
        <f t="shared" si="13"/>
        <v>1.0187464445809724</v>
      </c>
      <c r="O20" s="40"/>
      <c r="P20" s="40"/>
      <c r="U20" t="s">
        <v>25</v>
      </c>
      <c r="V20" t="s">
        <v>25</v>
      </c>
    </row>
    <row r="21" spans="1:26">
      <c r="A21" s="397" t="s">
        <v>5808</v>
      </c>
      <c r="B21" s="383" t="s">
        <v>4354</v>
      </c>
      <c r="C21" s="382">
        <v>14504</v>
      </c>
      <c r="D21" s="383">
        <v>6127</v>
      </c>
      <c r="E21" s="388" t="s">
        <v>4216</v>
      </c>
      <c r="F21" s="385">
        <v>1179.0999999999999</v>
      </c>
      <c r="G21" s="388">
        <f t="shared" si="0"/>
        <v>74423.360289252698</v>
      </c>
      <c r="H21" s="388">
        <f t="shared" si="1"/>
        <v>12.300907471800526</v>
      </c>
      <c r="I21" s="387">
        <f t="shared" si="12"/>
        <v>12.493055555555555</v>
      </c>
      <c r="J21" s="394">
        <f t="shared" si="2"/>
        <v>1.0156206429643928</v>
      </c>
      <c r="K21" s="394">
        <f t="shared" si="3"/>
        <v>-4.0980391362270279</v>
      </c>
      <c r="L21" s="394"/>
      <c r="M21" s="394"/>
      <c r="N21" s="394">
        <f>H21/H20</f>
        <v>1.065985140087617</v>
      </c>
      <c r="O21" s="40"/>
      <c r="P21" s="40"/>
      <c r="Q21" t="s">
        <v>932</v>
      </c>
      <c r="R21" s="351">
        <v>1594</v>
      </c>
      <c r="S21" s="351">
        <f>R21/0.99114</f>
        <v>1608.2490869100227</v>
      </c>
      <c r="T21" s="351"/>
      <c r="U21" s="351">
        <f>S21/1.0127</f>
        <v>1588.0804650044661</v>
      </c>
      <c r="W21" t="s">
        <v>25</v>
      </c>
    </row>
    <row r="22" spans="1:26">
      <c r="A22" s="397" t="s">
        <v>6450</v>
      </c>
      <c r="B22" s="383" t="s">
        <v>4354</v>
      </c>
      <c r="C22" s="382">
        <v>14171</v>
      </c>
      <c r="D22" s="383">
        <v>2105</v>
      </c>
      <c r="E22" s="388" t="s">
        <v>4216</v>
      </c>
      <c r="F22" s="385">
        <v>1155</v>
      </c>
      <c r="G22" s="388">
        <f t="shared" si="0"/>
        <v>25503.210580255756</v>
      </c>
      <c r="H22" s="388">
        <f t="shared" si="1"/>
        <v>12.26926406926407</v>
      </c>
      <c r="I22" s="387">
        <f t="shared" si="12"/>
        <v>12.493055555555555</v>
      </c>
      <c r="J22" s="394">
        <f>I22/H22</f>
        <v>1.0182400089384422</v>
      </c>
      <c r="K22" s="394">
        <f t="shared" ref="K22" si="14">(1/J22-1.0256)*100</f>
        <v>-4.3513270720385684</v>
      </c>
      <c r="L22" s="394"/>
      <c r="M22" s="394"/>
      <c r="N22" s="394">
        <f>H22/H21</f>
        <v>0.99742755543775952</v>
      </c>
      <c r="O22" s="40"/>
      <c r="P22" s="40"/>
      <c r="Q22" t="s">
        <v>61</v>
      </c>
      <c r="R22" s="351">
        <v>15147</v>
      </c>
      <c r="S22" s="351">
        <f>R22/1.0037158</f>
        <v>15090.925140363439</v>
      </c>
      <c r="T22" s="351"/>
      <c r="U22" s="351">
        <f>S22*1.0127</f>
        <v>15282.579889646053</v>
      </c>
    </row>
    <row r="23" spans="1:26">
      <c r="A23" s="397" t="s">
        <v>6465</v>
      </c>
      <c r="B23" s="383" t="s">
        <v>4354</v>
      </c>
      <c r="C23" s="382">
        <v>15584</v>
      </c>
      <c r="D23" s="383">
        <v>4776</v>
      </c>
      <c r="E23" s="388" t="s">
        <v>4216</v>
      </c>
      <c r="F23" s="385">
        <v>1253</v>
      </c>
      <c r="G23" s="388">
        <f t="shared" si="0"/>
        <v>58656.538391993388</v>
      </c>
      <c r="H23" s="388">
        <f t="shared" si="1"/>
        <v>12.437350359138069</v>
      </c>
      <c r="I23" s="387">
        <f t="shared" si="12"/>
        <v>12.493055555555555</v>
      </c>
      <c r="J23" s="394">
        <f t="shared" ref="J23" si="15">I23/H23</f>
        <v>1.0044788636493269</v>
      </c>
      <c r="K23" s="394">
        <f t="shared" ref="K23" si="16">(1/J23-1.0256)*100</f>
        <v>-3.0058892876107968</v>
      </c>
      <c r="L23" s="394"/>
      <c r="M23" s="394"/>
      <c r="N23" s="394">
        <f t="shared" ref="N23" si="17">H23/H22</f>
        <v>1.0136997858164187</v>
      </c>
      <c r="O23" s="40"/>
      <c r="P23" s="40"/>
      <c r="Q23" t="s">
        <v>6580</v>
      </c>
      <c r="R23" s="351">
        <v>14984</v>
      </c>
      <c r="S23" s="351">
        <f>R23*0.99114/1.0037158</f>
        <v>14796.261810365047</v>
      </c>
      <c r="T23" s="351"/>
      <c r="U23" s="351"/>
      <c r="W23" s="350"/>
    </row>
    <row r="24" spans="1:26">
      <c r="A24" s="397" t="s">
        <v>6473</v>
      </c>
      <c r="B24" s="383" t="s">
        <v>4354</v>
      </c>
      <c r="C24" s="382">
        <v>16011</v>
      </c>
      <c r="D24" s="383">
        <v>1472</v>
      </c>
      <c r="E24" s="388" t="s">
        <v>4216</v>
      </c>
      <c r="F24" s="385">
        <v>1275</v>
      </c>
      <c r="G24" s="388">
        <f t="shared" si="0"/>
        <v>18253.255196599301</v>
      </c>
      <c r="H24" s="388">
        <f t="shared" si="1"/>
        <v>12.55764705882353</v>
      </c>
      <c r="I24" s="387">
        <f t="shared" si="12"/>
        <v>12.493055555555555</v>
      </c>
      <c r="J24" s="394">
        <f t="shared" ref="J24:J25" si="18">I24/H24</f>
        <v>0.99485640080777793</v>
      </c>
      <c r="K24" s="394">
        <f t="shared" ref="K24:K25" si="19">(1/J24-1.0256)*100</f>
        <v>-2.0429807409344969</v>
      </c>
      <c r="L24" s="394"/>
      <c r="M24" s="394"/>
      <c r="N24" s="394">
        <f t="shared" ref="N24:N25" si="20">H24/H23</f>
        <v>1.0096722128276363</v>
      </c>
      <c r="O24" s="40"/>
      <c r="P24" s="40"/>
      <c r="Q24" t="s">
        <v>1068</v>
      </c>
      <c r="R24" s="351">
        <v>1155794</v>
      </c>
      <c r="S24" s="351">
        <f>R24*1.00125</f>
        <v>1157238.7424999999</v>
      </c>
      <c r="T24" s="351">
        <f>R24/1.00125</f>
        <v>1154351.0611735331</v>
      </c>
      <c r="U24" s="351">
        <f>R24*1.0025</f>
        <v>1158683.4849999999</v>
      </c>
      <c r="W24" s="350"/>
      <c r="Z24" s="350"/>
    </row>
    <row r="25" spans="1:26">
      <c r="A25" s="397" t="s">
        <v>6971</v>
      </c>
      <c r="B25" s="383" t="s">
        <v>4354</v>
      </c>
      <c r="C25" s="382">
        <v>18890</v>
      </c>
      <c r="D25" s="383">
        <v>403</v>
      </c>
      <c r="E25" s="388" t="s">
        <v>4216</v>
      </c>
      <c r="F25" s="385">
        <v>1504.9</v>
      </c>
      <c r="G25" s="388">
        <f t="shared" si="0"/>
        <v>4995.2083203726907</v>
      </c>
      <c r="H25" s="388">
        <f t="shared" si="1"/>
        <v>12.552329058409196</v>
      </c>
      <c r="I25" s="387">
        <f t="shared" si="12"/>
        <v>12.493055555555555</v>
      </c>
      <c r="J25" s="394">
        <f t="shared" si="18"/>
        <v>0.99527788806540796</v>
      </c>
      <c r="K25" s="394">
        <f t="shared" si="19"/>
        <v>-2.0855483929447471</v>
      </c>
      <c r="L25" s="394"/>
      <c r="M25" s="394"/>
      <c r="N25" s="394">
        <f t="shared" si="20"/>
        <v>0.99957651298930261</v>
      </c>
      <c r="O25" s="40"/>
      <c r="P25" s="40"/>
      <c r="S25" t="s">
        <v>25</v>
      </c>
      <c r="T25" s="350" t="s">
        <v>25</v>
      </c>
      <c r="V25" t="s">
        <v>25</v>
      </c>
      <c r="W25" s="350" t="s">
        <v>25</v>
      </c>
      <c r="Z25" s="350"/>
    </row>
    <row r="26" spans="1:26">
      <c r="A26" s="398" t="s">
        <v>6458</v>
      </c>
      <c r="B26" s="388" t="s">
        <v>4216</v>
      </c>
      <c r="C26" s="385">
        <v>1205</v>
      </c>
      <c r="D26" s="388">
        <v>11869</v>
      </c>
      <c r="E26" s="390" t="s">
        <v>5262</v>
      </c>
      <c r="F26" s="389">
        <v>447.43299999999999</v>
      </c>
      <c r="G26" s="390">
        <f t="shared" ref="G26:G37" si="21">C26*D26*0.99114/(F26*1.0037158)</f>
        <v>31564.390507451786</v>
      </c>
      <c r="H26" s="390">
        <f t="shared" ref="H26:H37" si="22">C26/F26</f>
        <v>2.6931406489910223</v>
      </c>
      <c r="I26" s="391">
        <f t="shared" ref="I26:I37" si="23">$R$28/$R$29</f>
        <v>3.1858407079646018</v>
      </c>
      <c r="J26" s="394">
        <f>I26/H26</f>
        <v>1.1829462784122204</v>
      </c>
      <c r="K26" s="394">
        <f>(1/J26-1.0256)*100</f>
        <v>-18.025307406670699</v>
      </c>
      <c r="L26" s="394"/>
      <c r="M26" s="394"/>
      <c r="N26" s="394">
        <f>1</f>
        <v>1</v>
      </c>
      <c r="O26" s="399">
        <f t="shared" ref="O26:O28" si="24">F26-C26</f>
        <v>-757.56700000000001</v>
      </c>
      <c r="P26" s="399">
        <f>R29-R28</f>
        <v>-988</v>
      </c>
      <c r="W26" s="350"/>
      <c r="Z26" s="350"/>
    </row>
    <row r="27" spans="1:26" ht="21">
      <c r="A27" s="398" t="s">
        <v>6461</v>
      </c>
      <c r="B27" s="388" t="s">
        <v>4216</v>
      </c>
      <c r="C27" s="385">
        <v>1225</v>
      </c>
      <c r="D27" s="388">
        <v>54062</v>
      </c>
      <c r="E27" s="390" t="s">
        <v>5262</v>
      </c>
      <c r="F27" s="389">
        <v>450.66300000000001</v>
      </c>
      <c r="G27" s="390">
        <f t="shared" si="21"/>
        <v>145111.06730349615</v>
      </c>
      <c r="H27" s="390">
        <f t="shared" si="22"/>
        <v>2.7182173819461548</v>
      </c>
      <c r="I27" s="391">
        <f t="shared" si="23"/>
        <v>3.1858407079646018</v>
      </c>
      <c r="J27" s="394">
        <f t="shared" ref="J27" si="25">I27/H27</f>
        <v>1.1720330865089399</v>
      </c>
      <c r="K27" s="394">
        <f>(1/J27-1.0256)*100</f>
        <v>-17.238176622245703</v>
      </c>
      <c r="L27" s="394"/>
      <c r="M27" s="394"/>
      <c r="N27" s="394">
        <f>H27/H26</f>
        <v>1.0093113343205924</v>
      </c>
      <c r="O27" s="399">
        <f t="shared" si="24"/>
        <v>-774.33699999999999</v>
      </c>
      <c r="P27" s="399"/>
      <c r="Q27" s="67" t="s">
        <v>5846</v>
      </c>
      <c r="R27" s="302">
        <v>3339</v>
      </c>
      <c r="S27" t="s">
        <v>25</v>
      </c>
      <c r="W27" s="350"/>
      <c r="Y27" s="350"/>
    </row>
    <row r="28" spans="1:26" ht="21">
      <c r="A28" s="398" t="s">
        <v>6463</v>
      </c>
      <c r="B28" s="388" t="s">
        <v>4216</v>
      </c>
      <c r="C28" s="385">
        <v>1299.2</v>
      </c>
      <c r="D28" s="388">
        <v>183853</v>
      </c>
      <c r="E28" s="390" t="s">
        <v>5262</v>
      </c>
      <c r="F28" s="389">
        <v>467.66699999999997</v>
      </c>
      <c r="G28" s="390">
        <f t="shared" si="21"/>
        <v>504352.58344984357</v>
      </c>
      <c r="H28" s="390">
        <f t="shared" si="22"/>
        <v>2.7780450619778607</v>
      </c>
      <c r="I28" s="391">
        <f t="shared" si="23"/>
        <v>3.1858407079646018</v>
      </c>
      <c r="J28" s="394">
        <f t="shared" ref="J28" si="26">I28/H28</f>
        <v>1.1467923078599762</v>
      </c>
      <c r="K28" s="394">
        <f t="shared" ref="K28" si="27">(1/J28-1.0256)*100</f>
        <v>-15.36025222125048</v>
      </c>
      <c r="L28" s="394"/>
      <c r="M28" s="394"/>
      <c r="N28" s="394">
        <f t="shared" ref="N28" si="28">H28/H27</f>
        <v>1.0220098953192887</v>
      </c>
      <c r="O28" s="399">
        <f t="shared" si="24"/>
        <v>-831.53300000000013</v>
      </c>
      <c r="P28" s="40"/>
      <c r="Q28" s="97" t="s">
        <v>4216</v>
      </c>
      <c r="R28" s="278">
        <v>1440</v>
      </c>
      <c r="W28" s="350" t="s">
        <v>25</v>
      </c>
      <c r="Y28" s="350"/>
    </row>
    <row r="29" spans="1:26" ht="21">
      <c r="A29" s="398" t="s">
        <v>6463</v>
      </c>
      <c r="B29" s="388" t="s">
        <v>4216</v>
      </c>
      <c r="C29" s="385">
        <v>1307</v>
      </c>
      <c r="D29" s="388">
        <v>253107</v>
      </c>
      <c r="E29" s="390" t="s">
        <v>5262</v>
      </c>
      <c r="F29" s="389">
        <v>462.23329999999999</v>
      </c>
      <c r="G29" s="390">
        <f t="shared" si="21"/>
        <v>706712.4744352384</v>
      </c>
      <c r="H29" s="390">
        <f t="shared" si="22"/>
        <v>2.8275764640929157</v>
      </c>
      <c r="I29" s="391">
        <f t="shared" si="23"/>
        <v>3.1858407079646018</v>
      </c>
      <c r="J29" s="394">
        <f t="shared" ref="J29" si="29">I29/H29</f>
        <v>1.1267036447718548</v>
      </c>
      <c r="K29" s="394">
        <f t="shared" ref="K29" si="30">(1/J29-1.0256)*100</f>
        <v>-13.805516543750151</v>
      </c>
      <c r="L29" s="394"/>
      <c r="M29" s="394"/>
      <c r="N29" s="394">
        <f t="shared" ref="N29" si="31">H29/H28</f>
        <v>1.0178295891571285</v>
      </c>
      <c r="O29" s="399">
        <f t="shared" ref="O29" si="32">F29-C29</f>
        <v>-844.76670000000001</v>
      </c>
      <c r="P29" s="40"/>
      <c r="Q29" s="97" t="s">
        <v>5262</v>
      </c>
      <c r="R29" s="288">
        <v>452</v>
      </c>
      <c r="V29" t="s">
        <v>25</v>
      </c>
      <c r="W29" s="350"/>
      <c r="Y29" s="350"/>
    </row>
    <row r="30" spans="1:26" ht="21">
      <c r="A30" s="398" t="s">
        <v>955</v>
      </c>
      <c r="B30" s="388" t="s">
        <v>4216</v>
      </c>
      <c r="C30" s="385">
        <v>1526</v>
      </c>
      <c r="D30" s="388">
        <v>10000</v>
      </c>
      <c r="E30" s="390" t="s">
        <v>5262</v>
      </c>
      <c r="F30" s="389">
        <v>538.94000000000005</v>
      </c>
      <c r="G30" s="390">
        <f t="shared" si="21"/>
        <v>27960.076704394509</v>
      </c>
      <c r="H30" s="411">
        <f t="shared" si="22"/>
        <v>2.8314840241956429</v>
      </c>
      <c r="I30" s="391">
        <f t="shared" si="23"/>
        <v>3.1858407079646018</v>
      </c>
      <c r="J30" s="394">
        <f t="shared" ref="J30" si="33">I30/H30</f>
        <v>1.1251487491156242</v>
      </c>
      <c r="K30" s="394">
        <f t="shared" ref="K30:K31" si="34">(1/J30-1.0256)*100</f>
        <v>-13.682862573858989</v>
      </c>
      <c r="L30" s="394"/>
      <c r="M30" s="394"/>
      <c r="N30" s="394">
        <f t="shared" ref="N30:N31" si="35">H30/H29</f>
        <v>1.0013819467492211</v>
      </c>
      <c r="O30" s="399">
        <f>F30-C30</f>
        <v>-987.06</v>
      </c>
      <c r="P30" s="40"/>
      <c r="Q30" s="97" t="s">
        <v>5791</v>
      </c>
      <c r="R30" s="345">
        <v>1495</v>
      </c>
      <c r="U30" t="s">
        <v>25</v>
      </c>
      <c r="W30" s="350"/>
      <c r="Y30" s="350"/>
    </row>
    <row r="31" spans="1:26" ht="21">
      <c r="A31" s="398" t="s">
        <v>6914</v>
      </c>
      <c r="B31" s="388" t="s">
        <v>4216</v>
      </c>
      <c r="C31" s="385">
        <v>1470</v>
      </c>
      <c r="D31" s="388">
        <v>100000</v>
      </c>
      <c r="E31" s="390" t="s">
        <v>5262</v>
      </c>
      <c r="F31" s="389">
        <v>517.66700000000003</v>
      </c>
      <c r="G31" s="390">
        <f t="shared" si="21"/>
        <v>280408.45013521047</v>
      </c>
      <c r="H31" s="411">
        <f t="shared" si="22"/>
        <v>2.8396633356964998</v>
      </c>
      <c r="I31" s="391">
        <f t="shared" si="23"/>
        <v>3.1858407079646018</v>
      </c>
      <c r="J31" s="394">
        <f>I31/H31</f>
        <v>1.1219078923604842</v>
      </c>
      <c r="K31" s="394">
        <f t="shared" si="34"/>
        <v>-13.426123073970997</v>
      </c>
      <c r="L31" s="394"/>
      <c r="M31" s="394"/>
      <c r="N31" s="394">
        <f t="shared" si="35"/>
        <v>1.0028887012714756</v>
      </c>
      <c r="O31" s="399">
        <f>F31-C31</f>
        <v>-952.33299999999997</v>
      </c>
      <c r="P31" s="40"/>
      <c r="Q31" s="97" t="s">
        <v>4358</v>
      </c>
      <c r="R31" s="277">
        <v>21000</v>
      </c>
      <c r="W31" s="350"/>
      <c r="Y31" s="350"/>
    </row>
    <row r="32" spans="1:26" ht="21">
      <c r="A32" s="398" t="s">
        <v>6920</v>
      </c>
      <c r="B32" s="388" t="s">
        <v>4216</v>
      </c>
      <c r="C32" s="385">
        <v>1476.58</v>
      </c>
      <c r="D32" s="388">
        <v>140000</v>
      </c>
      <c r="E32" s="390" t="s">
        <v>5262</v>
      </c>
      <c r="F32" s="389">
        <v>512.29600000000005</v>
      </c>
      <c r="G32" s="390">
        <f t="shared" si="21"/>
        <v>398463.27060757863</v>
      </c>
      <c r="H32" s="411">
        <f t="shared" si="22"/>
        <v>2.8822789949560406</v>
      </c>
      <c r="I32" s="391">
        <f t="shared" si="23"/>
        <v>3.1858407079646018</v>
      </c>
      <c r="J32" s="394">
        <f t="shared" ref="J32:J33" si="36">I32/H32</f>
        <v>1.1053200309684772</v>
      </c>
      <c r="K32" s="394">
        <f t="shared" ref="K32:K33" si="37">(1/J32-1.0256)*100</f>
        <v>-12.088464880546523</v>
      </c>
      <c r="L32" s="394"/>
      <c r="M32" s="394"/>
      <c r="N32" s="394">
        <f t="shared" ref="N32:N33" si="38">H32/H31</f>
        <v>1.0150072928448359</v>
      </c>
      <c r="O32" s="399">
        <f t="shared" ref="O32:O36" si="39">F32-C32</f>
        <v>-964.28399999999988</v>
      </c>
      <c r="P32" s="40"/>
      <c r="Q32" s="97" t="s">
        <v>4354</v>
      </c>
      <c r="R32" s="287">
        <v>17990</v>
      </c>
      <c r="S32" t="s">
        <v>25</v>
      </c>
      <c r="V32" t="s">
        <v>25</v>
      </c>
      <c r="W32" s="350"/>
      <c r="Y32" s="350"/>
    </row>
    <row r="33" spans="1:25" ht="21">
      <c r="A33" s="398" t="s">
        <v>6920</v>
      </c>
      <c r="B33" s="388" t="s">
        <v>4216</v>
      </c>
      <c r="C33" s="385">
        <v>1500</v>
      </c>
      <c r="D33" s="388">
        <v>477049</v>
      </c>
      <c r="E33" s="390" t="s">
        <v>5262</v>
      </c>
      <c r="F33" s="389">
        <v>510.99</v>
      </c>
      <c r="G33" s="390">
        <f t="shared" si="21"/>
        <v>1382821.3959883661</v>
      </c>
      <c r="H33" s="411">
        <f t="shared" si="22"/>
        <v>2.9354781893970525</v>
      </c>
      <c r="I33" s="391">
        <f t="shared" si="23"/>
        <v>3.1858407079646018</v>
      </c>
      <c r="J33" s="394">
        <f t="shared" si="36"/>
        <v>1.0852884955752213</v>
      </c>
      <c r="K33" s="394">
        <f t="shared" si="37"/>
        <v>-10.418601277259187</v>
      </c>
      <c r="L33" s="394"/>
      <c r="M33" s="394"/>
      <c r="N33" s="394">
        <f t="shared" si="38"/>
        <v>1.0184573368969867</v>
      </c>
      <c r="O33" s="399">
        <f t="shared" si="39"/>
        <v>-989.01</v>
      </c>
      <c r="P33" s="40"/>
      <c r="Q33" s="97" t="s">
        <v>4653</v>
      </c>
      <c r="R33" s="436">
        <v>813</v>
      </c>
      <c r="U33" t="s">
        <v>25</v>
      </c>
      <c r="W33" s="350"/>
      <c r="Y33" s="350"/>
    </row>
    <row r="34" spans="1:25" ht="21">
      <c r="A34" s="398" t="s">
        <v>6920</v>
      </c>
      <c r="B34" s="388" t="s">
        <v>4216</v>
      </c>
      <c r="C34" s="385">
        <v>1521</v>
      </c>
      <c r="D34" s="388">
        <v>80000</v>
      </c>
      <c r="E34" s="390" t="s">
        <v>5262</v>
      </c>
      <c r="F34" s="389">
        <v>508.26659999999998</v>
      </c>
      <c r="G34" s="390">
        <f t="shared" si="21"/>
        <v>236402.39514078898</v>
      </c>
      <c r="H34" s="411">
        <f t="shared" si="22"/>
        <v>2.9925240021673667</v>
      </c>
      <c r="I34" s="391">
        <f t="shared" si="23"/>
        <v>3.1858407079646018</v>
      </c>
      <c r="J34" s="394">
        <f t="shared" ref="J34" si="40">I34/H34</f>
        <v>1.0645998847986595</v>
      </c>
      <c r="K34" s="394">
        <f t="shared" ref="K34" si="41">(1/J34-1.0256)*100</f>
        <v>-8.6279965986354572</v>
      </c>
      <c r="L34" s="394"/>
      <c r="M34" s="394"/>
      <c r="N34" s="394">
        <f t="shared" ref="N34" si="42">H34/H33</f>
        <v>1.0194332265783352</v>
      </c>
      <c r="O34" s="399">
        <f t="shared" si="39"/>
        <v>-1012.7334000000001</v>
      </c>
      <c r="P34" s="40"/>
      <c r="Q34" s="67" t="s">
        <v>1068</v>
      </c>
      <c r="R34" s="346">
        <v>12300000</v>
      </c>
      <c r="W34" s="350"/>
      <c r="Y34" s="350"/>
    </row>
    <row r="35" spans="1:25" ht="18.75">
      <c r="A35" s="398" t="s">
        <v>6923</v>
      </c>
      <c r="B35" s="388" t="s">
        <v>4216</v>
      </c>
      <c r="C35" s="385">
        <v>1538.5</v>
      </c>
      <c r="D35" s="388">
        <v>230485</v>
      </c>
      <c r="E35" s="390" t="s">
        <v>5262</v>
      </c>
      <c r="F35" s="389">
        <v>513.55700000000002</v>
      </c>
      <c r="G35" s="390">
        <f t="shared" si="21"/>
        <v>681829.45212567016</v>
      </c>
      <c r="H35" s="411">
        <f t="shared" si="22"/>
        <v>2.995772621150135</v>
      </c>
      <c r="I35" s="391">
        <f t="shared" si="23"/>
        <v>3.1858407079646018</v>
      </c>
      <c r="J35" s="394">
        <f t="shared" ref="J35" si="43">I35/H35</f>
        <v>1.0634454315633262</v>
      </c>
      <c r="K35" s="394">
        <f t="shared" ref="K35" si="44">(1/J35-1.0256)*100</f>
        <v>-8.5260260583430068</v>
      </c>
      <c r="L35" s="394"/>
      <c r="M35" s="394"/>
      <c r="N35" s="394">
        <f t="shared" ref="N35" si="45">H35/H34</f>
        <v>1.0010855782544821</v>
      </c>
      <c r="O35" s="399">
        <f t="shared" si="39"/>
        <v>-1024.943</v>
      </c>
      <c r="P35" s="40" t="s">
        <v>25</v>
      </c>
      <c r="W35" s="350"/>
      <c r="Y35" s="350"/>
    </row>
    <row r="36" spans="1:25" ht="18.75">
      <c r="A36" s="398" t="s">
        <v>6925</v>
      </c>
      <c r="B36" s="388" t="s">
        <v>4216</v>
      </c>
      <c r="C36" s="385">
        <v>1590</v>
      </c>
      <c r="D36" s="388">
        <v>82867</v>
      </c>
      <c r="E36" s="390" t="s">
        <v>5262</v>
      </c>
      <c r="F36" s="389">
        <v>508.11</v>
      </c>
      <c r="G36" s="390">
        <f t="shared" si="21"/>
        <v>256062.063825135</v>
      </c>
      <c r="H36" s="411">
        <f t="shared" si="22"/>
        <v>3.1292436677097477</v>
      </c>
      <c r="I36" s="391">
        <f t="shared" si="23"/>
        <v>3.1858407079646018</v>
      </c>
      <c r="J36" s="394">
        <f>I36/H36</f>
        <v>1.01808649190182</v>
      </c>
      <c r="K36" s="394">
        <f t="shared" ref="K36" si="46">(1/J36-1.0256)*100</f>
        <v>-4.3365182079995845</v>
      </c>
      <c r="L36" s="394"/>
      <c r="M36" s="394"/>
      <c r="N36" s="394">
        <f t="shared" ref="N36" si="47">H36/H35</f>
        <v>1.0445531298394637</v>
      </c>
      <c r="O36" s="399">
        <f t="shared" si="39"/>
        <v>-1081.8899999999999</v>
      </c>
      <c r="P36" s="40"/>
    </row>
    <row r="37" spans="1:25" ht="18.75">
      <c r="A37" s="398" t="s">
        <v>7062</v>
      </c>
      <c r="B37" s="388" t="s">
        <v>4216</v>
      </c>
      <c r="C37" s="385">
        <v>1394</v>
      </c>
      <c r="D37" s="388">
        <v>31412</v>
      </c>
      <c r="E37" s="390" t="s">
        <v>5262</v>
      </c>
      <c r="F37" s="389">
        <v>432.39499999999998</v>
      </c>
      <c r="G37" s="390">
        <f t="shared" si="21"/>
        <v>100000.44718678057</v>
      </c>
      <c r="H37" s="411">
        <f t="shared" si="22"/>
        <v>3.2239040691959899</v>
      </c>
      <c r="I37" s="391">
        <f t="shared" si="23"/>
        <v>3.1858407079646018</v>
      </c>
      <c r="J37" s="394">
        <f t="shared" ref="J37" si="48">I37/H37</f>
        <v>0.98819339520828831</v>
      </c>
      <c r="K37" s="394">
        <f t="shared" ref="K37" si="49">(1/J37-1.0256)*100</f>
        <v>-1.3652333835703301</v>
      </c>
      <c r="L37" s="394"/>
      <c r="M37" s="394"/>
      <c r="N37" s="394">
        <f t="shared" ref="N37" si="50">H37/H36</f>
        <v>1.0302502494334431</v>
      </c>
      <c r="O37" s="399">
        <f t="shared" ref="O37" si="51">F37-C37</f>
        <v>-961.60500000000002</v>
      </c>
      <c r="P37" s="40"/>
    </row>
    <row r="38" spans="1:25">
      <c r="A38" s="383" t="s">
        <v>5760</v>
      </c>
      <c r="B38" s="383" t="s">
        <v>4354</v>
      </c>
      <c r="C38" s="382">
        <v>11624</v>
      </c>
      <c r="D38" s="383">
        <v>8930</v>
      </c>
      <c r="E38" s="390" t="s">
        <v>6973</v>
      </c>
      <c r="F38" s="389">
        <v>394</v>
      </c>
      <c r="G38" s="390">
        <f t="shared" si="0"/>
        <v>260156.73964975364</v>
      </c>
      <c r="H38" s="390">
        <f t="shared" si="1"/>
        <v>29.502538071065988</v>
      </c>
      <c r="I38" s="390">
        <f>$R$32/$R$29</f>
        <v>39.80088495575221</v>
      </c>
      <c r="J38" s="32">
        <f t="shared" si="2"/>
        <v>1.3490664721753589</v>
      </c>
      <c r="K38" s="32">
        <f t="shared" si="3"/>
        <v>-28.43466810382531</v>
      </c>
      <c r="L38" s="32"/>
      <c r="M38" s="32"/>
      <c r="N38" s="394">
        <v>1</v>
      </c>
      <c r="O38" s="40"/>
      <c r="P38" s="399" t="s">
        <v>25</v>
      </c>
    </row>
    <row r="39" spans="1:25" ht="21">
      <c r="A39" s="383" t="s">
        <v>5761</v>
      </c>
      <c r="B39" s="383" t="s">
        <v>4354</v>
      </c>
      <c r="C39" s="382">
        <v>11612</v>
      </c>
      <c r="D39" s="383">
        <v>352</v>
      </c>
      <c r="E39" s="390" t="s">
        <v>6973</v>
      </c>
      <c r="F39" s="389">
        <v>389</v>
      </c>
      <c r="G39" s="390">
        <f t="shared" si="0"/>
        <v>10375.865470549827</v>
      </c>
      <c r="H39" s="390">
        <f t="shared" ref="H39:H43" si="52">C39/F39</f>
        <v>29.85089974293059</v>
      </c>
      <c r="I39" s="390">
        <f>$R$32/$R$29</f>
        <v>39.80088495575221</v>
      </c>
      <c r="J39" s="32">
        <f t="shared" ref="J39" si="53">I39/H39</f>
        <v>1.3333227908876688</v>
      </c>
      <c r="K39" s="400">
        <f t="shared" si="3"/>
        <v>-27.559406982742484</v>
      </c>
      <c r="L39" s="32" t="s">
        <v>25</v>
      </c>
      <c r="M39" s="32" t="s">
        <v>25</v>
      </c>
      <c r="N39" s="32">
        <f>H39/H38</f>
        <v>1.0118078543285145</v>
      </c>
      <c r="O39" s="40"/>
      <c r="P39" s="40" t="s">
        <v>25</v>
      </c>
    </row>
    <row r="40" spans="1:25" ht="21">
      <c r="A40" s="401" t="s">
        <v>6613</v>
      </c>
      <c r="B40" s="401" t="s">
        <v>5846</v>
      </c>
      <c r="C40" s="392">
        <v>3112</v>
      </c>
      <c r="D40" s="401">
        <v>200</v>
      </c>
      <c r="E40" s="388" t="s">
        <v>4216</v>
      </c>
      <c r="F40" s="388">
        <v>1613</v>
      </c>
      <c r="G40" s="388">
        <f t="shared" si="0"/>
        <v>381.03025333950779</v>
      </c>
      <c r="H40" s="388">
        <f t="shared" ref="H40:H42" si="54">C40/F40</f>
        <v>1.9293242405455673</v>
      </c>
      <c r="I40" s="388">
        <f>$R$27/$R$28</f>
        <v>2.3187500000000001</v>
      </c>
      <c r="J40" s="32">
        <f t="shared" ref="J40:J43" si="55">I40/H40</f>
        <v>1.2018456780205655</v>
      </c>
      <c r="K40" s="400">
        <f t="shared" ref="K40:K43" si="56">(1/J40-1.0256)*100</f>
        <v>-19.354641917172309</v>
      </c>
      <c r="L40" s="32" t="s">
        <v>25</v>
      </c>
      <c r="M40" s="32" t="s">
        <v>25</v>
      </c>
      <c r="N40" s="32">
        <v>1</v>
      </c>
      <c r="O40" s="40"/>
      <c r="P40" s="40" t="s">
        <v>25</v>
      </c>
    </row>
    <row r="41" spans="1:25" ht="18.75" customHeight="1">
      <c r="A41" s="401" t="s">
        <v>6613</v>
      </c>
      <c r="B41" s="401" t="s">
        <v>5846</v>
      </c>
      <c r="C41" s="392">
        <v>3178</v>
      </c>
      <c r="D41" s="401">
        <v>6860</v>
      </c>
      <c r="E41" s="390" t="s">
        <v>5262</v>
      </c>
      <c r="F41" s="390">
        <v>568.29999999999995</v>
      </c>
      <c r="G41" s="390">
        <f t="shared" si="0"/>
        <v>37881.275651587544</v>
      </c>
      <c r="H41" s="390">
        <f t="shared" si="54"/>
        <v>5.5921168396973435</v>
      </c>
      <c r="I41" s="390">
        <f>$R$27/$R$29</f>
        <v>7.3871681415929205</v>
      </c>
      <c r="J41" s="32">
        <f t="shared" si="55"/>
        <v>1.3209967447662858</v>
      </c>
      <c r="K41" s="400">
        <f t="shared" si="56"/>
        <v>-26.859586356897303</v>
      </c>
      <c r="L41" s="32" t="s">
        <v>25</v>
      </c>
      <c r="M41" s="32" t="s">
        <v>25</v>
      </c>
      <c r="N41" s="32">
        <v>1</v>
      </c>
      <c r="O41" s="40"/>
      <c r="P41" s="40" t="s">
        <v>25</v>
      </c>
    </row>
    <row r="42" spans="1:25" ht="21.75" customHeight="1">
      <c r="A42" s="388" t="s">
        <v>7068</v>
      </c>
      <c r="B42" s="388" t="s">
        <v>4216</v>
      </c>
      <c r="C42" s="385">
        <v>1480</v>
      </c>
      <c r="D42" s="388">
        <v>1</v>
      </c>
      <c r="E42" s="435" t="s">
        <v>4653</v>
      </c>
      <c r="F42" s="435">
        <v>776</v>
      </c>
      <c r="G42" s="435">
        <f t="shared" si="0"/>
        <v>1.8833205143338694</v>
      </c>
      <c r="H42" s="435">
        <f t="shared" si="54"/>
        <v>1.9072164948453609</v>
      </c>
      <c r="I42" s="435">
        <f>$R$28/$R$33</f>
        <v>1.7712177121771218</v>
      </c>
      <c r="J42" s="32">
        <f t="shared" si="55"/>
        <v>0.92869253016854492</v>
      </c>
      <c r="K42" s="400">
        <f t="shared" si="56"/>
        <v>5.1182646048109959</v>
      </c>
      <c r="L42" s="32" t="s">
        <v>25</v>
      </c>
      <c r="M42" s="32" t="s">
        <v>25</v>
      </c>
      <c r="N42" s="32">
        <v>1</v>
      </c>
      <c r="O42" s="40"/>
      <c r="P42" s="40"/>
    </row>
    <row r="43" spans="1:25">
      <c r="A43" s="388" t="s">
        <v>6923</v>
      </c>
      <c r="B43" s="388" t="s">
        <v>4216</v>
      </c>
      <c r="C43" s="385">
        <v>1538.5</v>
      </c>
      <c r="D43" s="388">
        <v>1</v>
      </c>
      <c r="E43" s="402" t="s">
        <v>5791</v>
      </c>
      <c r="F43" s="402">
        <v>1353</v>
      </c>
      <c r="G43" s="402">
        <f>C43*D43*0.99114/(F43*1.0037158)</f>
        <v>1.1228556972348047</v>
      </c>
      <c r="H43" s="402">
        <f t="shared" si="52"/>
        <v>1.1371027346637104</v>
      </c>
      <c r="I43" s="402">
        <f>$R$28/$R$30</f>
        <v>0.96321070234113715</v>
      </c>
      <c r="J43" s="32">
        <f t="shared" si="55"/>
        <v>0.84707447531203017</v>
      </c>
      <c r="K43" s="32">
        <f t="shared" si="56"/>
        <v>15.493374189044928</v>
      </c>
      <c r="L43" s="32"/>
      <c r="M43" s="32"/>
      <c r="N43" s="32">
        <v>1</v>
      </c>
      <c r="O43" s="399">
        <f>F43-C43</f>
        <v>-185.5</v>
      </c>
      <c r="P43" s="399">
        <f>R30-R28</f>
        <v>55</v>
      </c>
      <c r="S43" s="470"/>
      <c r="T43" s="470"/>
    </row>
    <row r="44" spans="1:25" ht="18.75" customHeight="1">
      <c r="A44" s="94"/>
      <c r="B44" s="113"/>
      <c r="C44" s="113"/>
      <c r="D44" s="94"/>
      <c r="E44" s="94"/>
      <c r="F44" s="94"/>
      <c r="G44" s="94"/>
      <c r="H44" s="94"/>
      <c r="I44" s="94"/>
      <c r="J44" s="94"/>
      <c r="K44" s="94"/>
      <c r="L44" s="94"/>
      <c r="M44" s="94"/>
      <c r="N44" s="94"/>
      <c r="Q44" s="473"/>
      <c r="R44" s="473"/>
      <c r="S44" s="473"/>
      <c r="T44" s="473"/>
      <c r="X44" s="483"/>
    </row>
    <row r="45" spans="1:25" ht="20.25" customHeight="1">
      <c r="A45" s="461" t="s">
        <v>7058</v>
      </c>
      <c r="B45" s="347" t="s">
        <v>1068</v>
      </c>
      <c r="C45" s="44">
        <v>11500000</v>
      </c>
      <c r="D45" s="347">
        <v>1</v>
      </c>
      <c r="E45" s="273" t="s">
        <v>4216</v>
      </c>
      <c r="F45" s="274">
        <v>1349.5</v>
      </c>
      <c r="G45" s="273">
        <f>C45*D45*0.99875/(F45*1.0037158)</f>
        <v>8479.5144212767409</v>
      </c>
      <c r="H45" s="462">
        <f>C45/F45</f>
        <v>8521.6746943312337</v>
      </c>
      <c r="I45" s="463">
        <f>$R$34/$R$28</f>
        <v>8541.6666666666661</v>
      </c>
      <c r="J45" s="20">
        <f>I45/H45</f>
        <v>1.0023460144927536</v>
      </c>
      <c r="K45" s="20">
        <f>(1/J45-1.0153)*100</f>
        <v>-1.7640523590489843</v>
      </c>
      <c r="L45" s="20"/>
      <c r="M45" s="20"/>
      <c r="N45" s="20">
        <f>1</f>
        <v>1</v>
      </c>
      <c r="O45" s="467"/>
      <c r="P45" s="467"/>
      <c r="Q45" s="473"/>
      <c r="R45" s="473"/>
      <c r="S45" s="473"/>
      <c r="T45" s="473"/>
      <c r="X45" s="483"/>
    </row>
    <row r="46" spans="1:25" ht="30">
      <c r="A46" s="461" t="s">
        <v>7057</v>
      </c>
      <c r="B46" s="347" t="s">
        <v>1068</v>
      </c>
      <c r="C46" s="44">
        <v>12700000</v>
      </c>
      <c r="D46" s="347">
        <v>1</v>
      </c>
      <c r="E46" s="273" t="s">
        <v>4216</v>
      </c>
      <c r="F46" s="274">
        <v>1386</v>
      </c>
      <c r="G46" s="273">
        <f>C46*D46*0.99875/(F46*1.0037158)</f>
        <v>9117.725693971679</v>
      </c>
      <c r="H46" s="462">
        <f>C46/F46</f>
        <v>9163.0591630591625</v>
      </c>
      <c r="I46" s="463">
        <f>$R$34/$R$28</f>
        <v>8541.6666666666661</v>
      </c>
      <c r="J46" s="20">
        <f t="shared" ref="J46:J47" si="57">I46/H46</f>
        <v>0.93218503937007868</v>
      </c>
      <c r="K46" s="20">
        <f t="shared" ref="K46:K47" si="58">(1/J46-1.0153)*100</f>
        <v>5.744838982156053</v>
      </c>
      <c r="L46" s="261" t="s">
        <v>7089</v>
      </c>
      <c r="M46" s="20"/>
      <c r="N46" s="20">
        <f>1</f>
        <v>1</v>
      </c>
      <c r="O46" s="467"/>
      <c r="P46" s="467"/>
      <c r="Q46" s="473"/>
      <c r="R46" s="473"/>
      <c r="S46" s="473"/>
      <c r="T46" s="473"/>
    </row>
    <row r="47" spans="1:25">
      <c r="A47" s="461"/>
      <c r="B47" s="347"/>
      <c r="C47" s="44"/>
      <c r="D47" s="347"/>
      <c r="E47" s="273" t="s">
        <v>4216</v>
      </c>
      <c r="F47" s="274">
        <v>0</v>
      </c>
      <c r="G47" s="273" t="e">
        <f>C47*D47*0.99875/(F47*1.0037158)</f>
        <v>#DIV/0!</v>
      </c>
      <c r="H47" s="462" t="e">
        <f t="shared" ref="H47" si="59">C47/F47</f>
        <v>#DIV/0!</v>
      </c>
      <c r="I47" s="463">
        <f>$R$34/$R$28</f>
        <v>8541.6666666666661</v>
      </c>
      <c r="J47" s="20" t="e">
        <f t="shared" si="57"/>
        <v>#DIV/0!</v>
      </c>
      <c r="K47" s="20" t="e">
        <f t="shared" si="58"/>
        <v>#DIV/0!</v>
      </c>
      <c r="L47" s="20"/>
      <c r="M47" s="20"/>
      <c r="N47" s="20">
        <f>1</f>
        <v>1</v>
      </c>
      <c r="O47" s="467"/>
      <c r="P47" s="467"/>
      <c r="Q47" s="439"/>
      <c r="T47" t="s">
        <v>25</v>
      </c>
    </row>
    <row r="48" spans="1:25">
      <c r="A48" s="94"/>
      <c r="B48" s="94"/>
      <c r="C48" s="94"/>
      <c r="D48" s="94"/>
      <c r="E48" s="94"/>
      <c r="F48" s="94" t="s">
        <v>25</v>
      </c>
      <c r="G48" s="94"/>
      <c r="H48" s="94"/>
      <c r="I48" s="94"/>
      <c r="J48" s="94"/>
      <c r="K48" s="94"/>
      <c r="L48" s="94"/>
      <c r="M48" s="94"/>
      <c r="N48" s="94"/>
      <c r="Q48" s="439"/>
    </row>
    <row r="49" spans="1:23">
      <c r="A49" s="113"/>
      <c r="B49" s="113"/>
      <c r="C49" s="113"/>
      <c r="D49" s="113"/>
      <c r="E49" s="113"/>
      <c r="F49" s="113"/>
      <c r="G49" s="113"/>
      <c r="H49" s="113"/>
      <c r="I49" s="113"/>
      <c r="J49" s="113"/>
      <c r="K49" s="113"/>
      <c r="L49" s="113"/>
      <c r="M49" s="113"/>
      <c r="N49" s="113"/>
      <c r="Q49" s="439" t="s">
        <v>25</v>
      </c>
      <c r="S49" t="s">
        <v>25</v>
      </c>
    </row>
    <row r="50" spans="1:23">
      <c r="A50" s="97" t="s">
        <v>5509</v>
      </c>
      <c r="B50" s="97"/>
      <c r="C50" s="97" t="s">
        <v>933</v>
      </c>
      <c r="D50" s="97" t="s">
        <v>6481</v>
      </c>
      <c r="E50" s="97"/>
      <c r="F50" s="97" t="s">
        <v>933</v>
      </c>
      <c r="G50" s="97" t="s">
        <v>6482</v>
      </c>
      <c r="H50" s="97"/>
      <c r="I50" s="97"/>
      <c r="J50" s="97"/>
      <c r="K50" s="97"/>
      <c r="L50" s="97" t="s">
        <v>936</v>
      </c>
      <c r="M50" s="97" t="s">
        <v>5</v>
      </c>
      <c r="N50" s="97" t="s">
        <v>6483</v>
      </c>
      <c r="P50" t="s">
        <v>6484</v>
      </c>
      <c r="Q50" s="439"/>
    </row>
    <row r="51" spans="1:23">
      <c r="A51" s="97" t="s">
        <v>5499</v>
      </c>
      <c r="B51" s="97" t="s">
        <v>6480</v>
      </c>
      <c r="C51" s="97">
        <v>17800</v>
      </c>
      <c r="D51" s="97">
        <v>916</v>
      </c>
      <c r="E51" s="97" t="s">
        <v>4354</v>
      </c>
      <c r="F51" s="97">
        <v>16472</v>
      </c>
      <c r="G51" s="97">
        <v>916</v>
      </c>
      <c r="H51" s="97"/>
      <c r="I51" s="97"/>
      <c r="J51" s="97"/>
      <c r="K51" s="97"/>
      <c r="L51" s="93">
        <v>987467</v>
      </c>
      <c r="M51" s="93">
        <f>L51/2</f>
        <v>493733.5</v>
      </c>
      <c r="N51" s="97" t="s">
        <v>5499</v>
      </c>
      <c r="P51">
        <v>1086</v>
      </c>
      <c r="Q51" s="439"/>
      <c r="R51" t="s">
        <v>25</v>
      </c>
    </row>
    <row r="52" spans="1:23" ht="390">
      <c r="A52" s="271" t="s">
        <v>5721</v>
      </c>
      <c r="B52" s="339" t="s">
        <v>6559</v>
      </c>
      <c r="C52" s="271">
        <v>21532</v>
      </c>
      <c r="D52" s="271">
        <v>1859</v>
      </c>
      <c r="E52" s="273" t="s">
        <v>6487</v>
      </c>
      <c r="F52" s="273">
        <v>1187</v>
      </c>
      <c r="G52" s="273">
        <f t="shared" ref="G52:G58" si="60">C52*D52*0.99114/(F52*1.0037158)</f>
        <v>33299.467209851166</v>
      </c>
      <c r="H52" s="273">
        <f t="shared" ref="H52:H58" si="61">C52/F52</f>
        <v>18.139848357203032</v>
      </c>
      <c r="I52" s="273">
        <f t="shared" ref="I52:I57" si="62">$R$31/$R$28</f>
        <v>14.583333333333334</v>
      </c>
      <c r="J52" s="97">
        <f t="shared" ref="J52:J58" si="63">I52/H52</f>
        <v>0.8039390983961856</v>
      </c>
      <c r="K52" s="97">
        <f t="shared" ref="K52:K58" si="64">(1/J52-1.0256)*100</f>
        <v>21.82753159224935</v>
      </c>
      <c r="L52" s="93">
        <v>1600000</v>
      </c>
      <c r="M52" s="93">
        <f t="shared" ref="M52:M61" si="65">L52/2</f>
        <v>800000</v>
      </c>
      <c r="N52" s="97" t="s">
        <v>6478</v>
      </c>
      <c r="Q52" s="439"/>
      <c r="W52" t="s">
        <v>25</v>
      </c>
    </row>
    <row r="53" spans="1:23" ht="25.5" customHeight="1">
      <c r="A53" s="271" t="s">
        <v>5726</v>
      </c>
      <c r="B53" s="271" t="s">
        <v>6486</v>
      </c>
      <c r="C53" s="271">
        <v>22420.1</v>
      </c>
      <c r="D53" s="286">
        <v>1000</v>
      </c>
      <c r="E53" s="273" t="s">
        <v>6488</v>
      </c>
      <c r="F53" s="273">
        <v>1161</v>
      </c>
      <c r="G53" s="273">
        <f t="shared" si="60"/>
        <v>19069.072437793271</v>
      </c>
      <c r="H53" s="273">
        <f t="shared" si="61"/>
        <v>19.311024978466836</v>
      </c>
      <c r="I53" s="273">
        <f t="shared" si="62"/>
        <v>14.583333333333334</v>
      </c>
      <c r="J53" s="97">
        <f t="shared" si="63"/>
        <v>0.75518173424739421</v>
      </c>
      <c r="K53" s="97">
        <f t="shared" si="64"/>
        <v>29.858456995201156</v>
      </c>
      <c r="L53" s="93">
        <v>19462210</v>
      </c>
      <c r="M53" s="93">
        <f t="shared" si="65"/>
        <v>9731105</v>
      </c>
      <c r="N53" s="97" t="s">
        <v>6473</v>
      </c>
      <c r="Q53" s="439" t="s">
        <v>25</v>
      </c>
    </row>
    <row r="54" spans="1:23">
      <c r="A54" s="271" t="s">
        <v>5727</v>
      </c>
      <c r="B54" s="271" t="s">
        <v>6486</v>
      </c>
      <c r="C54" s="271">
        <v>23233.1</v>
      </c>
      <c r="D54" s="286">
        <v>1000</v>
      </c>
      <c r="E54" s="273" t="s">
        <v>6488</v>
      </c>
      <c r="F54" s="273">
        <v>1152</v>
      </c>
      <c r="G54" s="273">
        <f t="shared" si="60"/>
        <v>19914.936480069027</v>
      </c>
      <c r="H54" s="273">
        <f t="shared" si="61"/>
        <v>20.167621527777776</v>
      </c>
      <c r="I54" s="273">
        <f t="shared" si="62"/>
        <v>14.583333333333334</v>
      </c>
      <c r="J54" s="97">
        <f t="shared" si="63"/>
        <v>0.7231062578820735</v>
      </c>
      <c r="K54" s="97">
        <f t="shared" si="64"/>
        <v>35.732261904761884</v>
      </c>
      <c r="L54" s="93">
        <v>0</v>
      </c>
      <c r="M54" s="93">
        <f t="shared" si="65"/>
        <v>0</v>
      </c>
      <c r="N54" s="97" t="s">
        <v>6473</v>
      </c>
    </row>
    <row r="55" spans="1:23">
      <c r="A55" s="271" t="s">
        <v>5729</v>
      </c>
      <c r="B55" s="271" t="s">
        <v>6486</v>
      </c>
      <c r="C55" s="271">
        <v>23900</v>
      </c>
      <c r="D55" s="286">
        <v>1000</v>
      </c>
      <c r="E55" s="273" t="s">
        <v>6489</v>
      </c>
      <c r="F55" s="273">
        <v>1153</v>
      </c>
      <c r="G55" s="273">
        <f t="shared" si="60"/>
        <v>20468.821398374203</v>
      </c>
      <c r="H55" s="273">
        <f t="shared" si="61"/>
        <v>20.7285342584562</v>
      </c>
      <c r="I55" s="273">
        <f t="shared" si="62"/>
        <v>14.583333333333334</v>
      </c>
      <c r="J55" s="97">
        <f t="shared" si="63"/>
        <v>0.70353905160390517</v>
      </c>
      <c r="K55" s="97">
        <f t="shared" si="64"/>
        <v>39.578520629413937</v>
      </c>
      <c r="L55" s="93">
        <v>0</v>
      </c>
      <c r="M55" s="93">
        <f t="shared" si="65"/>
        <v>0</v>
      </c>
      <c r="N55" s="97" t="s">
        <v>6473</v>
      </c>
      <c r="P55" t="s">
        <v>25</v>
      </c>
    </row>
    <row r="56" spans="1:23" ht="42.75" customHeight="1">
      <c r="A56" s="271" t="s">
        <v>5739</v>
      </c>
      <c r="B56" s="271" t="s">
        <v>6486</v>
      </c>
      <c r="C56" s="271">
        <v>22500</v>
      </c>
      <c r="D56" s="286">
        <v>2000</v>
      </c>
      <c r="E56" s="273" t="s">
        <v>6488</v>
      </c>
      <c r="F56" s="273">
        <v>1093</v>
      </c>
      <c r="G56" s="273">
        <f t="shared" si="60"/>
        <v>40655.246136679802</v>
      </c>
      <c r="H56" s="273">
        <f t="shared" si="61"/>
        <v>20.585544373284538</v>
      </c>
      <c r="I56" s="273">
        <f t="shared" si="62"/>
        <v>14.583333333333334</v>
      </c>
      <c r="J56" s="97">
        <f t="shared" si="63"/>
        <v>0.7084259259259259</v>
      </c>
      <c r="K56" s="97">
        <f t="shared" si="64"/>
        <v>38.598018559665405</v>
      </c>
      <c r="L56" s="93">
        <v>0</v>
      </c>
      <c r="M56" s="93">
        <f t="shared" si="65"/>
        <v>0</v>
      </c>
      <c r="N56" s="97" t="s">
        <v>6473</v>
      </c>
      <c r="S56" t="s">
        <v>25</v>
      </c>
    </row>
    <row r="57" spans="1:23" ht="33" customHeight="1">
      <c r="A57" s="271" t="s">
        <v>6457</v>
      </c>
      <c r="B57" s="271" t="s">
        <v>6485</v>
      </c>
      <c r="C57" s="271">
        <v>23706</v>
      </c>
      <c r="D57" s="286">
        <v>1000</v>
      </c>
      <c r="E57" s="273" t="s">
        <v>4216</v>
      </c>
      <c r="F57" s="273">
        <v>1155</v>
      </c>
      <c r="G57" s="273">
        <f t="shared" si="60"/>
        <v>20267.516662882761</v>
      </c>
      <c r="H57" s="273">
        <f t="shared" si="61"/>
        <v>20.524675324675325</v>
      </c>
      <c r="I57" s="273">
        <f t="shared" si="62"/>
        <v>14.583333333333334</v>
      </c>
      <c r="J57" s="97">
        <f t="shared" si="63"/>
        <v>0.71052687083438792</v>
      </c>
      <c r="K57" s="97">
        <f t="shared" si="64"/>
        <v>38.180630797773652</v>
      </c>
      <c r="L57" s="93">
        <v>0</v>
      </c>
      <c r="M57" s="93">
        <f t="shared" si="65"/>
        <v>0</v>
      </c>
      <c r="N57" s="97" t="s">
        <v>6473</v>
      </c>
      <c r="R57" t="s">
        <v>25</v>
      </c>
    </row>
    <row r="58" spans="1:23" ht="20.25" customHeight="1">
      <c r="A58" s="60" t="s">
        <v>6457</v>
      </c>
      <c r="B58" s="60" t="s">
        <v>4354</v>
      </c>
      <c r="C58" s="60">
        <v>16794</v>
      </c>
      <c r="D58" s="60">
        <v>2227</v>
      </c>
      <c r="E58" s="273" t="s">
        <v>4216</v>
      </c>
      <c r="F58" s="273">
        <v>1146.6500000000001</v>
      </c>
      <c r="G58" s="273">
        <f t="shared" si="60"/>
        <v>32208.294857700886</v>
      </c>
      <c r="H58" s="273">
        <f t="shared" si="61"/>
        <v>14.646143112545239</v>
      </c>
      <c r="I58" s="273">
        <f>$R$32/$R$28</f>
        <v>12.493055555555555</v>
      </c>
      <c r="J58" s="97">
        <f t="shared" si="63"/>
        <v>0.85299286368808969</v>
      </c>
      <c r="K58" s="97">
        <f t="shared" si="64"/>
        <v>14.674275053169229</v>
      </c>
      <c r="L58" s="93">
        <v>3219484</v>
      </c>
      <c r="M58" s="93">
        <f t="shared" si="65"/>
        <v>1609742</v>
      </c>
      <c r="N58" s="97" t="s">
        <v>6463</v>
      </c>
      <c r="P58" t="s">
        <v>25</v>
      </c>
      <c r="Q58" s="94"/>
    </row>
    <row r="59" spans="1:23">
      <c r="A59" s="20" t="s">
        <v>6566</v>
      </c>
      <c r="B59" s="20" t="s">
        <v>6567</v>
      </c>
      <c r="C59" s="20">
        <v>21350</v>
      </c>
      <c r="D59" s="20">
        <v>639</v>
      </c>
      <c r="E59" s="20" t="s">
        <v>4358</v>
      </c>
      <c r="F59" s="20">
        <v>20666.599999999999</v>
      </c>
      <c r="G59" s="20">
        <v>639</v>
      </c>
      <c r="H59" s="20"/>
      <c r="I59" s="20"/>
      <c r="J59" s="20"/>
      <c r="K59" s="20"/>
      <c r="L59" s="344">
        <v>268731</v>
      </c>
      <c r="M59" s="344">
        <f t="shared" si="65"/>
        <v>134365.5</v>
      </c>
      <c r="N59" s="20" t="s">
        <v>6566</v>
      </c>
      <c r="Q59" s="94"/>
      <c r="R59" s="94"/>
    </row>
    <row r="60" spans="1:23">
      <c r="A60" s="97" t="s">
        <v>6576</v>
      </c>
      <c r="B60" s="97" t="s">
        <v>6578</v>
      </c>
      <c r="C60" s="97">
        <v>1286.5</v>
      </c>
      <c r="D60" s="97">
        <v>12000</v>
      </c>
      <c r="E60" s="97" t="s">
        <v>4216</v>
      </c>
      <c r="F60" s="97"/>
      <c r="G60" s="97"/>
      <c r="H60" s="97"/>
      <c r="I60" s="97"/>
      <c r="J60" s="97"/>
      <c r="K60" s="97"/>
      <c r="L60" s="344"/>
      <c r="M60" s="344">
        <f t="shared" si="65"/>
        <v>0</v>
      </c>
      <c r="N60" s="97"/>
      <c r="P60" t="s">
        <v>25</v>
      </c>
      <c r="Q60" s="94" t="s">
        <v>25</v>
      </c>
      <c r="R60" s="94"/>
    </row>
    <row r="61" spans="1:23" ht="30">
      <c r="A61" s="97" t="s">
        <v>6577</v>
      </c>
      <c r="B61" s="97" t="s">
        <v>6578</v>
      </c>
      <c r="C61" s="97">
        <v>1275</v>
      </c>
      <c r="D61" s="97">
        <v>9000</v>
      </c>
      <c r="E61" s="97" t="s">
        <v>4216</v>
      </c>
      <c r="F61" s="97">
        <v>1314</v>
      </c>
      <c r="G61" s="97">
        <v>9000</v>
      </c>
      <c r="H61" s="97"/>
      <c r="I61" s="97"/>
      <c r="J61" s="97"/>
      <c r="K61" s="97"/>
      <c r="L61" s="344">
        <v>191456</v>
      </c>
      <c r="M61" s="344">
        <f t="shared" si="65"/>
        <v>95728</v>
      </c>
      <c r="N61" s="36" t="s">
        <v>6592</v>
      </c>
      <c r="Q61" s="94"/>
      <c r="R61" s="94"/>
    </row>
    <row r="62" spans="1:23" ht="24" customHeight="1">
      <c r="A62" s="97" t="s">
        <v>6577</v>
      </c>
      <c r="B62" s="97" t="s">
        <v>6567</v>
      </c>
      <c r="C62" s="97">
        <v>19703</v>
      </c>
      <c r="D62" s="97">
        <v>210</v>
      </c>
      <c r="E62" s="97" t="s">
        <v>4358</v>
      </c>
      <c r="F62" s="97">
        <v>20548.900000000001</v>
      </c>
      <c r="G62" s="97">
        <v>210</v>
      </c>
      <c r="H62" s="97"/>
      <c r="I62" s="97"/>
      <c r="J62" s="97"/>
      <c r="K62" s="97"/>
      <c r="L62" s="344">
        <v>124637</v>
      </c>
      <c r="M62" s="344">
        <f>L62/2</f>
        <v>62318.5</v>
      </c>
      <c r="N62" s="97" t="s">
        <v>6579</v>
      </c>
      <c r="Q62" s="94"/>
      <c r="R62" s="94"/>
    </row>
    <row r="63" spans="1:23">
      <c r="A63" s="97" t="s">
        <v>6579</v>
      </c>
      <c r="B63" s="97" t="s">
        <v>6578</v>
      </c>
      <c r="C63" s="97">
        <v>1266.5</v>
      </c>
      <c r="D63" s="97">
        <v>8000</v>
      </c>
      <c r="E63" s="97" t="s">
        <v>4216</v>
      </c>
      <c r="F63" s="97">
        <v>1301</v>
      </c>
      <c r="G63" s="97">
        <v>8000</v>
      </c>
      <c r="H63" s="97"/>
      <c r="I63" s="97"/>
      <c r="J63" s="97"/>
      <c r="K63" s="97"/>
      <c r="L63" s="344">
        <v>146805</v>
      </c>
      <c r="M63" s="344">
        <f>L63/2</f>
        <v>73402.5</v>
      </c>
      <c r="N63" s="97" t="s">
        <v>6579</v>
      </c>
      <c r="P63" t="s">
        <v>25</v>
      </c>
      <c r="Q63" s="94"/>
      <c r="R63" s="94"/>
    </row>
    <row r="64" spans="1:23" ht="30">
      <c r="A64" s="36" t="s">
        <v>6593</v>
      </c>
      <c r="B64" s="97" t="s">
        <v>6578</v>
      </c>
      <c r="C64" s="97" t="s">
        <v>6594</v>
      </c>
      <c r="D64" s="97">
        <v>21000</v>
      </c>
      <c r="E64" s="97" t="s">
        <v>4216</v>
      </c>
      <c r="F64" s="97">
        <v>1312</v>
      </c>
      <c r="G64" s="97">
        <v>21000</v>
      </c>
      <c r="H64" s="97"/>
      <c r="I64" s="97"/>
      <c r="J64" s="97"/>
      <c r="K64" s="97"/>
      <c r="L64" s="344">
        <v>345822</v>
      </c>
      <c r="M64" s="344">
        <f>L64/2</f>
        <v>172911</v>
      </c>
      <c r="N64" s="97" t="s">
        <v>6595</v>
      </c>
      <c r="Q64" s="94"/>
      <c r="R64" s="94"/>
      <c r="S64" s="94"/>
    </row>
    <row r="65" spans="1:20">
      <c r="A65" s="97"/>
      <c r="B65" s="97"/>
      <c r="C65" s="97"/>
      <c r="D65" s="97"/>
      <c r="E65" s="97"/>
      <c r="F65" s="97"/>
      <c r="G65" s="97"/>
      <c r="H65" s="97"/>
      <c r="I65" s="97"/>
      <c r="J65" s="97"/>
      <c r="K65" s="97" t="s">
        <v>25</v>
      </c>
      <c r="L65" s="344"/>
      <c r="M65" s="344"/>
      <c r="N65" s="97"/>
      <c r="P65" t="s">
        <v>25</v>
      </c>
      <c r="Q65" s="94"/>
      <c r="R65" s="94"/>
      <c r="S65" s="94"/>
    </row>
    <row r="66" spans="1:20">
      <c r="A66" s="94"/>
      <c r="N66" s="94"/>
      <c r="P66" t="s">
        <v>25</v>
      </c>
      <c r="Q66" s="94"/>
      <c r="R66" s="94"/>
      <c r="S66" s="94"/>
    </row>
    <row r="67" spans="1:20">
      <c r="A67" s="94"/>
      <c r="Q67" s="94"/>
      <c r="R67" s="94"/>
      <c r="S67" s="94"/>
    </row>
    <row r="68" spans="1:20">
      <c r="A68" s="97" t="s">
        <v>6474</v>
      </c>
      <c r="B68" s="97"/>
      <c r="C68" s="97" t="s">
        <v>920</v>
      </c>
      <c r="D68" s="97" t="s">
        <v>933</v>
      </c>
      <c r="E68" s="97" t="s">
        <v>920</v>
      </c>
      <c r="F68" s="97" t="s">
        <v>933</v>
      </c>
      <c r="G68" s="97" t="s">
        <v>936</v>
      </c>
      <c r="H68" s="97" t="s">
        <v>5</v>
      </c>
      <c r="I68" s="97" t="s">
        <v>6589</v>
      </c>
      <c r="J68" s="97"/>
      <c r="K68" s="97"/>
      <c r="L68" s="97"/>
      <c r="M68" s="97"/>
      <c r="N68" s="97"/>
      <c r="Q68" s="94"/>
      <c r="R68" s="94"/>
      <c r="S68" s="94"/>
      <c r="T68" s="94"/>
    </row>
    <row r="69" spans="1:20">
      <c r="A69" s="97" t="s">
        <v>6473</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6478</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6570</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6570</v>
      </c>
      <c r="B72" s="20" t="s">
        <v>4216</v>
      </c>
      <c r="C72" s="20">
        <v>28000</v>
      </c>
      <c r="D72" s="20">
        <v>1302</v>
      </c>
      <c r="E72" s="20">
        <v>28000</v>
      </c>
      <c r="F72" s="20">
        <v>1345</v>
      </c>
      <c r="G72" s="93">
        <v>737130</v>
      </c>
      <c r="H72" s="93">
        <f>G72/2</f>
        <v>368565</v>
      </c>
      <c r="I72" s="20" t="s">
        <v>6575</v>
      </c>
      <c r="J72" s="20"/>
      <c r="K72" s="97"/>
      <c r="L72" s="97"/>
      <c r="M72" s="97"/>
      <c r="N72" s="97"/>
      <c r="P72" s="94"/>
      <c r="Q72" s="94"/>
      <c r="R72" s="94"/>
      <c r="S72" s="94"/>
      <c r="T72" s="94"/>
    </row>
    <row r="73" spans="1:20">
      <c r="A73" s="159" t="s">
        <v>6575</v>
      </c>
      <c r="B73" s="159" t="s">
        <v>4216</v>
      </c>
      <c r="C73" s="159">
        <v>28000</v>
      </c>
      <c r="D73" s="159">
        <v>1306.5</v>
      </c>
      <c r="E73" s="159">
        <v>28000</v>
      </c>
      <c r="F73" s="159">
        <v>1358.5</v>
      </c>
      <c r="G73" s="159">
        <v>985488</v>
      </c>
      <c r="H73" s="159">
        <f>G73/2</f>
        <v>492744</v>
      </c>
      <c r="I73" s="97" t="s">
        <v>6588</v>
      </c>
      <c r="J73" s="97"/>
      <c r="K73" s="97"/>
      <c r="L73" s="97"/>
      <c r="M73" s="97"/>
      <c r="N73" s="97"/>
      <c r="O73" s="94"/>
      <c r="P73" s="94"/>
      <c r="Q73" s="94" t="s">
        <v>25</v>
      </c>
      <c r="R73" s="94"/>
      <c r="S73" s="94"/>
      <c r="T73" s="94"/>
    </row>
    <row r="74" spans="1:20">
      <c r="A74" s="97"/>
      <c r="B74" s="97"/>
      <c r="C74" s="97"/>
      <c r="D74" s="97"/>
      <c r="E74" s="97"/>
      <c r="F74" s="97"/>
      <c r="G74" s="97"/>
      <c r="H74" s="97"/>
      <c r="I74" s="97"/>
      <c r="J74" s="97"/>
      <c r="K74" s="97"/>
      <c r="L74" s="97"/>
      <c r="M74" s="97"/>
      <c r="N74" s="97"/>
      <c r="O74" s="94"/>
      <c r="P74" s="94"/>
      <c r="Q74" s="94"/>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1520</v>
      </c>
      <c r="C80" s="94"/>
      <c r="D80" s="94"/>
      <c r="E80" s="94"/>
      <c r="O80" s="94"/>
      <c r="P80" s="94"/>
      <c r="Q80" s="94"/>
      <c r="R80" s="94" t="s">
        <v>25</v>
      </c>
      <c r="S80" s="94"/>
      <c r="T80" s="94"/>
    </row>
    <row r="81" spans="1:26">
      <c r="A81" s="94"/>
      <c r="B81" s="94"/>
      <c r="C81" s="94"/>
      <c r="D81" s="94"/>
      <c r="E81" s="94"/>
      <c r="O81" s="94"/>
      <c r="P81" s="94"/>
      <c r="Q81" s="94" t="s">
        <v>25</v>
      </c>
      <c r="R81" s="94" t="s">
        <v>25</v>
      </c>
      <c r="S81" s="94"/>
      <c r="T81" s="94"/>
    </row>
    <row r="82" spans="1:26">
      <c r="A82" s="94">
        <v>900</v>
      </c>
      <c r="B82" s="94">
        <v>650</v>
      </c>
      <c r="C82" s="94">
        <f>$B$80-B82</f>
        <v>870</v>
      </c>
      <c r="D82" s="94">
        <f>(A82-C82)*100/C82</f>
        <v>3.4482758620689653</v>
      </c>
      <c r="E82" s="94"/>
      <c r="P82" s="94"/>
      <c r="Q82" s="94" t="s">
        <v>25</v>
      </c>
      <c r="R82" s="94" t="s">
        <v>25</v>
      </c>
      <c r="S82" s="94"/>
      <c r="T82" s="94"/>
    </row>
    <row r="83" spans="1:26">
      <c r="A83" s="94">
        <v>1000</v>
      </c>
      <c r="B83" s="94">
        <v>550</v>
      </c>
      <c r="C83" s="460">
        <f>$B$80-B83</f>
        <v>970</v>
      </c>
      <c r="D83" s="460">
        <f>(A83-C83)*100/C83</f>
        <v>3.0927835051546393</v>
      </c>
      <c r="E83" s="94"/>
      <c r="O83" s="94"/>
      <c r="P83" s="94"/>
      <c r="Q83" s="94" t="s">
        <v>25</v>
      </c>
      <c r="R83" s="94" t="s">
        <v>25</v>
      </c>
      <c r="S83" s="94"/>
      <c r="T83" s="94"/>
    </row>
    <row r="84" spans="1:26">
      <c r="A84" s="94">
        <v>1200</v>
      </c>
      <c r="B84" s="94">
        <v>340</v>
      </c>
      <c r="C84" s="460">
        <f>$B$80-B84</f>
        <v>1180</v>
      </c>
      <c r="D84" s="460">
        <f>(A84-C84)*100/C84</f>
        <v>1.6949152542372881</v>
      </c>
      <c r="E84" s="94"/>
      <c r="K84" t="s">
        <v>25</v>
      </c>
      <c r="O84" s="94"/>
      <c r="P84" s="94"/>
      <c r="Q84" s="94" t="s">
        <v>25</v>
      </c>
      <c r="R84" s="112" t="s">
        <v>25</v>
      </c>
      <c r="S84" s="94"/>
      <c r="T84" s="94"/>
    </row>
    <row r="85" spans="1:26">
      <c r="A85" s="94">
        <v>1400</v>
      </c>
      <c r="B85">
        <v>135</v>
      </c>
      <c r="C85" s="460">
        <f>$B$80-B85</f>
        <v>1385</v>
      </c>
      <c r="D85" s="460">
        <f>(A85-C85)*100/C85</f>
        <v>1.0830324909747293</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c r="S91" s="94"/>
      <c r="T91" s="94"/>
    </row>
    <row r="92" spans="1:26">
      <c r="A92" s="94"/>
      <c r="O92" s="94"/>
      <c r="P92" s="94" t="s">
        <v>25</v>
      </c>
      <c r="S92" s="94"/>
      <c r="T92" s="94"/>
    </row>
    <row r="93" spans="1:26">
      <c r="A93" s="94"/>
      <c r="O93" s="94" t="s">
        <v>25</v>
      </c>
      <c r="P93" s="94" t="s">
        <v>25</v>
      </c>
      <c r="S93" s="94"/>
      <c r="T93" s="94"/>
    </row>
    <row r="94" spans="1:26">
      <c r="A94" s="94"/>
      <c r="O94" s="94"/>
      <c r="P94" s="94"/>
      <c r="R94" t="s">
        <v>25</v>
      </c>
    </row>
    <row r="95" spans="1:26">
      <c r="A95" s="94"/>
      <c r="D95">
        <v>28000</v>
      </c>
      <c r="O95" s="94"/>
      <c r="P95" s="94" t="s">
        <v>25</v>
      </c>
    </row>
    <row r="96" spans="1:26">
      <c r="A96" s="94"/>
      <c r="O96" s="94" t="s">
        <v>25</v>
      </c>
      <c r="P96" s="94" t="s">
        <v>25</v>
      </c>
      <c r="Z96" t="s">
        <v>25</v>
      </c>
    </row>
    <row r="97" spans="1:27">
      <c r="A97" s="94" t="s">
        <v>7040</v>
      </c>
      <c r="B97">
        <v>10330</v>
      </c>
      <c r="C97">
        <v>11900</v>
      </c>
      <c r="D97" s="112">
        <f t="shared" ref="D97:D119" si="66">B97*$D$95</f>
        <v>289240000</v>
      </c>
      <c r="E97" s="112">
        <f t="shared" ref="E97:E119" si="67">C97*$D$95</f>
        <v>333200000</v>
      </c>
      <c r="F97" s="112">
        <v>440000000</v>
      </c>
      <c r="G97">
        <f>(F97-E97)*100/E97</f>
        <v>32.052821128451377</v>
      </c>
      <c r="O97" s="94" t="s">
        <v>25</v>
      </c>
      <c r="P97" s="94" t="s">
        <v>25</v>
      </c>
      <c r="Q97" t="s">
        <v>25</v>
      </c>
    </row>
    <row r="98" spans="1:27">
      <c r="A98" s="94" t="s">
        <v>7041</v>
      </c>
      <c r="C98">
        <v>18000</v>
      </c>
      <c r="D98" s="112">
        <f t="shared" si="66"/>
        <v>0</v>
      </c>
      <c r="E98" s="112">
        <f t="shared" si="67"/>
        <v>504000000</v>
      </c>
      <c r="F98" s="112">
        <v>700000000</v>
      </c>
      <c r="G98" s="459">
        <f t="shared" ref="G98:G115" si="68">(F98-E98)*100/E98</f>
        <v>38.888888888888886</v>
      </c>
      <c r="O98" s="94"/>
      <c r="P98" s="94" t="s">
        <v>25</v>
      </c>
    </row>
    <row r="99" spans="1:27">
      <c r="A99" s="94" t="s">
        <v>7042</v>
      </c>
      <c r="C99">
        <v>19000</v>
      </c>
      <c r="D99" s="112">
        <f t="shared" si="66"/>
        <v>0</v>
      </c>
      <c r="E99" s="112">
        <f t="shared" si="67"/>
        <v>532000000</v>
      </c>
      <c r="F99" s="112">
        <v>650000000</v>
      </c>
      <c r="G99" s="459">
        <f t="shared" si="68"/>
        <v>22.180451127819548</v>
      </c>
      <c r="O99" s="94"/>
      <c r="P99" s="94" t="s">
        <v>25</v>
      </c>
      <c r="AA99" t="s">
        <v>25</v>
      </c>
    </row>
    <row r="100" spans="1:27">
      <c r="A100" s="94" t="s">
        <v>7043</v>
      </c>
      <c r="C100">
        <v>23000</v>
      </c>
      <c r="D100" s="112">
        <f t="shared" si="66"/>
        <v>0</v>
      </c>
      <c r="E100" s="112">
        <f t="shared" si="67"/>
        <v>644000000</v>
      </c>
      <c r="F100" s="112">
        <v>930000000</v>
      </c>
      <c r="G100" s="459">
        <f t="shared" si="68"/>
        <v>44.409937888198755</v>
      </c>
      <c r="O100" s="94"/>
      <c r="P100" s="94" t="s">
        <v>25</v>
      </c>
    </row>
    <row r="101" spans="1:27">
      <c r="A101" s="94" t="s">
        <v>7044</v>
      </c>
      <c r="C101">
        <v>13000</v>
      </c>
      <c r="D101" s="112">
        <f t="shared" si="66"/>
        <v>0</v>
      </c>
      <c r="E101" s="112">
        <f t="shared" si="67"/>
        <v>364000000</v>
      </c>
      <c r="F101" s="112">
        <v>600000000</v>
      </c>
      <c r="G101" s="459">
        <f t="shared" si="68"/>
        <v>64.835164835164832</v>
      </c>
      <c r="O101" s="94"/>
      <c r="P101" s="94" t="s">
        <v>25</v>
      </c>
    </row>
    <row r="102" spans="1:27">
      <c r="A102" s="94" t="s">
        <v>7045</v>
      </c>
      <c r="C102">
        <v>13000</v>
      </c>
      <c r="D102" s="112">
        <f t="shared" si="66"/>
        <v>0</v>
      </c>
      <c r="E102" s="112">
        <f t="shared" si="67"/>
        <v>364000000</v>
      </c>
      <c r="F102" s="112">
        <v>400000000</v>
      </c>
      <c r="G102" s="459">
        <f t="shared" si="68"/>
        <v>9.8901098901098905</v>
      </c>
      <c r="O102" s="94"/>
      <c r="Q102" t="s">
        <v>25</v>
      </c>
    </row>
    <row r="103" spans="1:27">
      <c r="A103" s="94" t="s">
        <v>7046</v>
      </c>
      <c r="C103">
        <v>13600</v>
      </c>
      <c r="D103" s="112">
        <f t="shared" si="66"/>
        <v>0</v>
      </c>
      <c r="E103" s="112">
        <f t="shared" si="67"/>
        <v>380800000</v>
      </c>
      <c r="F103" s="112">
        <v>520000000</v>
      </c>
      <c r="G103" s="459">
        <f t="shared" si="68"/>
        <v>36.554621848739494</v>
      </c>
      <c r="P103" t="s">
        <v>25</v>
      </c>
    </row>
    <row r="104" spans="1:27">
      <c r="A104" s="94" t="s">
        <v>7047</v>
      </c>
      <c r="C104">
        <v>28000</v>
      </c>
      <c r="D104" s="112">
        <f t="shared" si="66"/>
        <v>0</v>
      </c>
      <c r="E104" s="112">
        <f t="shared" si="67"/>
        <v>784000000</v>
      </c>
      <c r="F104" s="112">
        <v>900000000</v>
      </c>
      <c r="G104" s="459">
        <f t="shared" si="68"/>
        <v>14.795918367346939</v>
      </c>
      <c r="R104" t="s">
        <v>25</v>
      </c>
    </row>
    <row r="105" spans="1:27">
      <c r="A105" s="94" t="s">
        <v>7048</v>
      </c>
      <c r="C105">
        <v>19000</v>
      </c>
      <c r="D105" s="112">
        <f t="shared" si="66"/>
        <v>0</v>
      </c>
      <c r="E105" s="112">
        <f t="shared" si="67"/>
        <v>532000000</v>
      </c>
      <c r="F105" s="112">
        <v>700000000</v>
      </c>
      <c r="G105" s="459">
        <f t="shared" si="68"/>
        <v>31.578947368421051</v>
      </c>
      <c r="O105" t="s">
        <v>25</v>
      </c>
    </row>
    <row r="106" spans="1:27">
      <c r="A106" s="94" t="s">
        <v>7049</v>
      </c>
      <c r="C106">
        <v>15000</v>
      </c>
      <c r="D106" s="112">
        <f t="shared" si="66"/>
        <v>0</v>
      </c>
      <c r="E106" s="112">
        <f t="shared" si="67"/>
        <v>420000000</v>
      </c>
      <c r="F106" s="112">
        <v>700000000</v>
      </c>
      <c r="G106" s="459">
        <f t="shared" si="68"/>
        <v>66.666666666666671</v>
      </c>
    </row>
    <row r="107" spans="1:27">
      <c r="A107" s="94" t="s">
        <v>7050</v>
      </c>
      <c r="C107">
        <v>21000</v>
      </c>
      <c r="D107" s="112">
        <f t="shared" si="66"/>
        <v>0</v>
      </c>
      <c r="E107" s="112">
        <f t="shared" si="67"/>
        <v>588000000</v>
      </c>
      <c r="F107" s="112">
        <v>700000000</v>
      </c>
      <c r="G107" s="459">
        <f t="shared" si="68"/>
        <v>19.047619047619047</v>
      </c>
      <c r="P107" t="s">
        <v>25</v>
      </c>
      <c r="Z107" t="s">
        <v>25</v>
      </c>
    </row>
    <row r="108" spans="1:27">
      <c r="A108" s="94" t="s">
        <v>7051</v>
      </c>
      <c r="C108">
        <v>17000</v>
      </c>
      <c r="D108" s="112">
        <f t="shared" si="66"/>
        <v>0</v>
      </c>
      <c r="E108" s="112">
        <f t="shared" si="67"/>
        <v>476000000</v>
      </c>
      <c r="F108" s="112">
        <v>700000000</v>
      </c>
      <c r="G108" s="459">
        <f t="shared" si="68"/>
        <v>47.058823529411768</v>
      </c>
      <c r="O108" t="s">
        <v>25</v>
      </c>
      <c r="P108" t="s">
        <v>25</v>
      </c>
    </row>
    <row r="109" spans="1:27">
      <c r="A109" t="s">
        <v>7052</v>
      </c>
      <c r="C109">
        <v>11000</v>
      </c>
      <c r="D109" s="112">
        <f t="shared" si="66"/>
        <v>0</v>
      </c>
      <c r="E109" s="112">
        <f t="shared" si="67"/>
        <v>308000000</v>
      </c>
      <c r="F109" s="112">
        <v>370000000</v>
      </c>
      <c r="G109" s="459">
        <f t="shared" si="68"/>
        <v>20.129870129870131</v>
      </c>
      <c r="P109" t="s">
        <v>25</v>
      </c>
    </row>
    <row r="110" spans="1:27">
      <c r="D110" s="112">
        <f t="shared" si="66"/>
        <v>0</v>
      </c>
      <c r="E110" s="112">
        <f t="shared" si="67"/>
        <v>0</v>
      </c>
      <c r="F110" s="112"/>
      <c r="G110" s="459" t="e">
        <f t="shared" si="68"/>
        <v>#DIV/0!</v>
      </c>
      <c r="O110" t="s">
        <v>25</v>
      </c>
      <c r="P110" t="s">
        <v>25</v>
      </c>
    </row>
    <row r="111" spans="1:27">
      <c r="D111" s="112">
        <f t="shared" si="66"/>
        <v>0</v>
      </c>
      <c r="E111" s="112">
        <f t="shared" si="67"/>
        <v>0</v>
      </c>
      <c r="F111" s="112"/>
      <c r="G111" s="459" t="e">
        <f t="shared" si="68"/>
        <v>#DIV/0!</v>
      </c>
    </row>
    <row r="112" spans="1:27">
      <c r="D112" s="112">
        <f t="shared" si="66"/>
        <v>0</v>
      </c>
      <c r="E112" s="112">
        <f t="shared" si="67"/>
        <v>0</v>
      </c>
      <c r="F112" s="112"/>
      <c r="G112" s="459" t="e">
        <f t="shared" si="68"/>
        <v>#DIV/0!</v>
      </c>
      <c r="P112" t="s">
        <v>25</v>
      </c>
    </row>
    <row r="113" spans="4:19">
      <c r="D113" s="112">
        <f t="shared" si="66"/>
        <v>0</v>
      </c>
      <c r="E113" s="112">
        <f t="shared" si="67"/>
        <v>0</v>
      </c>
      <c r="F113" s="112"/>
      <c r="G113" s="459" t="e">
        <f t="shared" si="68"/>
        <v>#DIV/0!</v>
      </c>
      <c r="P113" t="s">
        <v>25</v>
      </c>
      <c r="Q113" t="s">
        <v>25</v>
      </c>
    </row>
    <row r="114" spans="4:19">
      <c r="D114" s="112">
        <f t="shared" si="66"/>
        <v>0</v>
      </c>
      <c r="E114" s="112">
        <f t="shared" si="67"/>
        <v>0</v>
      </c>
      <c r="F114" s="112"/>
      <c r="G114" s="459" t="e">
        <f t="shared" si="68"/>
        <v>#DIV/0!</v>
      </c>
      <c r="P114" t="s">
        <v>25</v>
      </c>
      <c r="R114" t="s">
        <v>25</v>
      </c>
    </row>
    <row r="115" spans="4:19" ht="27" customHeight="1">
      <c r="D115" s="112">
        <f t="shared" si="66"/>
        <v>0</v>
      </c>
      <c r="E115" s="112">
        <f t="shared" si="67"/>
        <v>0</v>
      </c>
      <c r="F115" s="112"/>
      <c r="G115" s="459" t="e">
        <f t="shared" si="68"/>
        <v>#DIV/0!</v>
      </c>
      <c r="O115" t="s">
        <v>25</v>
      </c>
      <c r="P115" t="s">
        <v>25</v>
      </c>
      <c r="Q115" t="s">
        <v>25</v>
      </c>
      <c r="R115" t="s">
        <v>25</v>
      </c>
    </row>
    <row r="116" spans="4:19">
      <c r="D116" s="112">
        <f t="shared" si="66"/>
        <v>0</v>
      </c>
      <c r="E116" s="112">
        <f t="shared" si="67"/>
        <v>0</v>
      </c>
      <c r="P116" t="s">
        <v>25</v>
      </c>
      <c r="R116" s="283" t="s">
        <v>5650</v>
      </c>
    </row>
    <row r="117" spans="4:19">
      <c r="D117" s="112">
        <f t="shared" si="66"/>
        <v>0</v>
      </c>
      <c r="E117" s="112">
        <f t="shared" si="67"/>
        <v>0</v>
      </c>
      <c r="Q117" t="s">
        <v>25</v>
      </c>
      <c r="R117" t="s">
        <v>25</v>
      </c>
    </row>
    <row r="118" spans="4:19">
      <c r="D118" s="112">
        <f t="shared" si="66"/>
        <v>0</v>
      </c>
      <c r="E118" s="112">
        <f t="shared" si="67"/>
        <v>0</v>
      </c>
      <c r="R118" t="s">
        <v>25</v>
      </c>
    </row>
    <row r="119" spans="4:19">
      <c r="D119" s="112">
        <f t="shared" si="66"/>
        <v>0</v>
      </c>
      <c r="E119" s="112">
        <f t="shared" si="67"/>
        <v>0</v>
      </c>
      <c r="R119" t="s">
        <v>25</v>
      </c>
    </row>
    <row r="120" spans="4:19">
      <c r="P120" t="s">
        <v>25</v>
      </c>
    </row>
    <row r="121" spans="4:19">
      <c r="P121" t="s">
        <v>25</v>
      </c>
    </row>
    <row r="122" spans="4:19">
      <c r="R122" t="s">
        <v>25</v>
      </c>
    </row>
    <row r="123" spans="4:19">
      <c r="R123" t="s">
        <v>25</v>
      </c>
      <c r="S123" t="s">
        <v>25</v>
      </c>
    </row>
    <row r="124" spans="4:19">
      <c r="P124" t="s">
        <v>25</v>
      </c>
      <c r="S124" t="s">
        <v>25</v>
      </c>
    </row>
    <row r="125" spans="4:19">
      <c r="S125" t="s">
        <v>25</v>
      </c>
    </row>
    <row r="126" spans="4:19">
      <c r="P126" t="s">
        <v>25</v>
      </c>
      <c r="Q126" t="s">
        <v>25</v>
      </c>
      <c r="R126" t="s">
        <v>25</v>
      </c>
      <c r="S126" t="s">
        <v>25</v>
      </c>
    </row>
    <row r="127" spans="4:19">
      <c r="P127" t="s">
        <v>25</v>
      </c>
      <c r="Q127" t="s">
        <v>25</v>
      </c>
      <c r="S127" t="s">
        <v>25</v>
      </c>
    </row>
    <row r="128" spans="4:19">
      <c r="O128" t="s">
        <v>25</v>
      </c>
      <c r="P128" s="94" t="s">
        <v>25</v>
      </c>
      <c r="R128" t="s">
        <v>25</v>
      </c>
    </row>
    <row r="130" spans="15:21">
      <c r="O130" s="94"/>
      <c r="P130" t="s">
        <v>25</v>
      </c>
      <c r="Q130" t="s">
        <v>25</v>
      </c>
      <c r="R130" t="s">
        <v>25</v>
      </c>
      <c r="S130" t="s">
        <v>25</v>
      </c>
      <c r="T130" t="s">
        <v>25</v>
      </c>
    </row>
    <row r="131" spans="15:21">
      <c r="O131" s="94"/>
      <c r="P131" t="s">
        <v>25</v>
      </c>
      <c r="Q131" t="s">
        <v>25</v>
      </c>
      <c r="R131" t="s">
        <v>25</v>
      </c>
      <c r="S131" t="s">
        <v>25</v>
      </c>
    </row>
    <row r="132" spans="15:21">
      <c r="O132" s="94" t="s">
        <v>25</v>
      </c>
      <c r="R132" t="s">
        <v>25</v>
      </c>
    </row>
    <row r="133" spans="15:21">
      <c r="O133" t="s">
        <v>25</v>
      </c>
      <c r="Q133" t="s">
        <v>25</v>
      </c>
      <c r="S133" t="s">
        <v>25</v>
      </c>
    </row>
    <row r="135" spans="15:21">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P141" s="94" t="s">
        <v>5505</v>
      </c>
      <c r="Q141" t="s">
        <v>25</v>
      </c>
      <c r="R141" t="s">
        <v>25</v>
      </c>
      <c r="S141" t="s">
        <v>25</v>
      </c>
    </row>
    <row r="142" spans="15:21">
      <c r="O142" s="94"/>
      <c r="R142" t="s">
        <v>25</v>
      </c>
    </row>
    <row r="143" spans="15:21">
      <c r="O143" s="94"/>
      <c r="P143" t="s">
        <v>25</v>
      </c>
    </row>
    <row r="144" spans="15:21">
      <c r="O144" s="94"/>
    </row>
    <row r="145" spans="15:18">
      <c r="O145" s="94"/>
      <c r="P145" t="s">
        <v>25</v>
      </c>
    </row>
    <row r="146" spans="15:18">
      <c r="O146" t="s">
        <v>25</v>
      </c>
    </row>
    <row r="147" spans="15:18">
      <c r="P147" t="s">
        <v>25</v>
      </c>
    </row>
    <row r="148" spans="15:18">
      <c r="P148" t="s">
        <v>25</v>
      </c>
    </row>
    <row r="149" spans="15:18">
      <c r="O149" t="s">
        <v>25</v>
      </c>
    </row>
    <row r="150" spans="15:18">
      <c r="O150" s="94"/>
      <c r="Q150" t="s">
        <v>25</v>
      </c>
    </row>
    <row r="151" spans="15:18">
      <c r="O151" s="94" t="s">
        <v>25</v>
      </c>
      <c r="Q151" t="s">
        <v>25</v>
      </c>
    </row>
    <row r="153" spans="15:18">
      <c r="O153" t="s">
        <v>25</v>
      </c>
      <c r="P153" t="s">
        <v>25</v>
      </c>
    </row>
    <row r="154" spans="15:18">
      <c r="O154" t="s">
        <v>25</v>
      </c>
    </row>
    <row r="155" spans="15:18">
      <c r="O155" t="s">
        <v>25</v>
      </c>
      <c r="R155" t="s">
        <v>25</v>
      </c>
    </row>
    <row r="159" spans="15:18">
      <c r="P159" t="s">
        <v>25</v>
      </c>
    </row>
    <row r="167" spans="15:16">
      <c r="P167" t="s">
        <v>25</v>
      </c>
    </row>
    <row r="168" spans="15:16">
      <c r="P168" t="s">
        <v>25</v>
      </c>
    </row>
    <row r="170" spans="15:16">
      <c r="P170" t="s">
        <v>25</v>
      </c>
    </row>
    <row r="171" spans="15:16">
      <c r="O171" t="s">
        <v>25</v>
      </c>
    </row>
    <row r="179" spans="16:19">
      <c r="S179" t="s">
        <v>25</v>
      </c>
    </row>
    <row r="186" spans="16:19">
      <c r="P186" t="s">
        <v>25</v>
      </c>
    </row>
    <row r="193" spans="16:21">
      <c r="U193" t="s">
        <v>25</v>
      </c>
    </row>
    <row r="194" spans="16:21">
      <c r="Q194" t="s">
        <v>25</v>
      </c>
    </row>
    <row r="197" spans="16:21">
      <c r="P197" t="s">
        <v>25</v>
      </c>
    </row>
    <row r="206" spans="16:21">
      <c r="P206" t="s">
        <v>25</v>
      </c>
    </row>
    <row r="211" spans="15:16">
      <c r="O211" s="94"/>
    </row>
    <row r="212" spans="15:16">
      <c r="O212" s="94" t="s">
        <v>25</v>
      </c>
    </row>
    <row r="213" spans="15:16">
      <c r="O213" s="94"/>
      <c r="P213" t="s">
        <v>25</v>
      </c>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7" t="s">
        <v>6490</v>
      </c>
      <c r="C1" s="487"/>
      <c r="D1" s="487" t="s">
        <v>6491</v>
      </c>
      <c r="E1" s="487"/>
      <c r="G1" s="22"/>
      <c r="R1" s="97" t="s">
        <v>5509</v>
      </c>
      <c r="S1" s="97"/>
      <c r="T1" s="97" t="s">
        <v>933</v>
      </c>
      <c r="U1" s="97" t="s">
        <v>6481</v>
      </c>
      <c r="V1" s="97"/>
      <c r="W1" s="97" t="s">
        <v>933</v>
      </c>
      <c r="X1" s="97" t="s">
        <v>6482</v>
      </c>
      <c r="Y1" s="97"/>
      <c r="Z1" s="97" t="s">
        <v>936</v>
      </c>
      <c r="AA1" s="97" t="s">
        <v>5</v>
      </c>
      <c r="AB1" s="97" t="s">
        <v>6483</v>
      </c>
      <c r="AC1" s="341"/>
      <c r="AD1" s="341" t="s">
        <v>6484</v>
      </c>
    </row>
    <row r="2" spans="1:30">
      <c r="A2" s="328" t="s">
        <v>3623</v>
      </c>
      <c r="B2" s="328" t="s">
        <v>180</v>
      </c>
      <c r="C2" s="328" t="s">
        <v>6492</v>
      </c>
      <c r="D2" s="328" t="s">
        <v>6493</v>
      </c>
      <c r="E2" s="328" t="s">
        <v>6494</v>
      </c>
      <c r="F2" s="328" t="s">
        <v>5303</v>
      </c>
      <c r="G2" s="22"/>
      <c r="H2" s="328" t="s">
        <v>4116</v>
      </c>
      <c r="I2" s="328" t="s">
        <v>5</v>
      </c>
      <c r="R2" s="97" t="s">
        <v>5499</v>
      </c>
      <c r="S2" s="97" t="s">
        <v>6480</v>
      </c>
      <c r="T2" s="97">
        <v>17800</v>
      </c>
      <c r="U2" s="97">
        <v>916</v>
      </c>
      <c r="V2" s="97" t="s">
        <v>4354</v>
      </c>
      <c r="W2" s="97">
        <v>16472</v>
      </c>
      <c r="X2" s="97">
        <v>916</v>
      </c>
      <c r="Y2" s="97"/>
      <c r="Z2" s="93">
        <v>987467</v>
      </c>
      <c r="AA2" s="93">
        <f>Z2/2</f>
        <v>493733.5</v>
      </c>
      <c r="AB2" s="97" t="s">
        <v>5499</v>
      </c>
      <c r="AC2" s="341"/>
      <c r="AD2" s="341">
        <v>1086</v>
      </c>
    </row>
    <row r="3" spans="1:30" s="340" customFormat="1" ht="72.75" customHeight="1">
      <c r="A3" s="337">
        <v>2</v>
      </c>
      <c r="B3" s="337" t="s">
        <v>6560</v>
      </c>
      <c r="C3" s="337" t="s">
        <v>6561</v>
      </c>
      <c r="D3" s="337">
        <v>0</v>
      </c>
      <c r="E3" s="337">
        <v>426136788</v>
      </c>
      <c r="F3" s="337">
        <v>1153060652</v>
      </c>
      <c r="G3" s="22"/>
      <c r="H3" s="112">
        <v>1230000</v>
      </c>
      <c r="I3" s="112">
        <f>H3/2</f>
        <v>615000</v>
      </c>
      <c r="J3" s="340" t="s">
        <v>6563</v>
      </c>
      <c r="R3" s="271" t="s">
        <v>5721</v>
      </c>
      <c r="S3" s="339" t="s">
        <v>6559</v>
      </c>
      <c r="T3" s="271">
        <v>21532</v>
      </c>
      <c r="U3" s="271">
        <v>1859</v>
      </c>
      <c r="V3" s="273" t="s">
        <v>6487</v>
      </c>
      <c r="W3" s="273">
        <v>1187</v>
      </c>
      <c r="X3" s="273">
        <f t="shared" ref="X3:X9" si="0">T3*U3*0.99114/(W3*1.0037158)</f>
        <v>33299.467209851166</v>
      </c>
      <c r="Y3" s="273">
        <f t="shared" ref="Y3:Y9" si="1">T3/W3</f>
        <v>18.139848357203032</v>
      </c>
      <c r="Z3" s="93">
        <v>0</v>
      </c>
      <c r="AA3" s="93">
        <f t="shared" ref="AA3:AA9" si="2">Z3/2</f>
        <v>0</v>
      </c>
      <c r="AB3" s="97" t="s">
        <v>6478</v>
      </c>
      <c r="AC3" s="341"/>
      <c r="AD3" s="341"/>
    </row>
    <row r="4" spans="1:30" s="340" customFormat="1">
      <c r="A4" s="342">
        <v>3</v>
      </c>
      <c r="B4" s="342" t="s">
        <v>6560</v>
      </c>
      <c r="C4" s="342" t="s">
        <v>6562</v>
      </c>
      <c r="D4" s="342">
        <v>0</v>
      </c>
      <c r="E4" s="342">
        <v>259688196</v>
      </c>
      <c r="F4" s="342">
        <v>1412748848</v>
      </c>
      <c r="G4" s="22"/>
      <c r="H4" s="112"/>
      <c r="I4" s="112"/>
      <c r="R4" s="271" t="s">
        <v>5726</v>
      </c>
      <c r="S4" s="271" t="s">
        <v>6486</v>
      </c>
      <c r="T4" s="271">
        <v>22420.1</v>
      </c>
      <c r="U4" s="286">
        <v>1000</v>
      </c>
      <c r="V4" s="273" t="s">
        <v>6488</v>
      </c>
      <c r="W4" s="273">
        <v>1161</v>
      </c>
      <c r="X4" s="273">
        <f t="shared" si="0"/>
        <v>19069.072437793271</v>
      </c>
      <c r="Y4" s="273">
        <f t="shared" si="1"/>
        <v>19.311024978466836</v>
      </c>
      <c r="Z4" s="93">
        <v>19462210</v>
      </c>
      <c r="AA4" s="93">
        <f t="shared" si="2"/>
        <v>9731105</v>
      </c>
      <c r="AB4" s="97" t="s">
        <v>6473</v>
      </c>
      <c r="AC4" s="341"/>
      <c r="AD4" s="341"/>
    </row>
    <row r="5" spans="1:30">
      <c r="A5" s="338"/>
      <c r="B5" s="329" t="s">
        <v>6495</v>
      </c>
      <c r="C5" s="329" t="s">
        <v>6496</v>
      </c>
      <c r="D5" s="329">
        <v>0</v>
      </c>
      <c r="E5" s="329">
        <v>1545379960</v>
      </c>
      <c r="F5" s="329">
        <v>1545486874</v>
      </c>
      <c r="G5" s="22"/>
      <c r="H5" s="112">
        <f>(E5-D7)/10</f>
        <v>19462210.699999999</v>
      </c>
      <c r="I5" s="112">
        <f>H5/2</f>
        <v>9731105.3499999996</v>
      </c>
      <c r="R5" s="271" t="s">
        <v>5727</v>
      </c>
      <c r="S5" s="271" t="s">
        <v>6486</v>
      </c>
      <c r="T5" s="271">
        <v>23233.1</v>
      </c>
      <c r="U5" s="286">
        <v>1000</v>
      </c>
      <c r="V5" s="273" t="s">
        <v>6488</v>
      </c>
      <c r="W5" s="273">
        <v>1152</v>
      </c>
      <c r="X5" s="273">
        <f t="shared" si="0"/>
        <v>19914.936480069027</v>
      </c>
      <c r="Y5" s="273">
        <f t="shared" si="1"/>
        <v>20.167621527777776</v>
      </c>
      <c r="Z5" s="93">
        <v>0</v>
      </c>
      <c r="AA5" s="93">
        <f t="shared" si="2"/>
        <v>0</v>
      </c>
      <c r="AB5" s="97" t="s">
        <v>6473</v>
      </c>
      <c r="AC5" s="341"/>
      <c r="AD5" s="341"/>
    </row>
    <row r="6" spans="1:30">
      <c r="A6" s="328"/>
      <c r="B6" s="330" t="s">
        <v>6495</v>
      </c>
      <c r="C6" s="330" t="s">
        <v>6497</v>
      </c>
      <c r="D6" s="330">
        <v>0</v>
      </c>
      <c r="E6" s="330">
        <v>32194843</v>
      </c>
      <c r="F6" s="330">
        <v>1577681717</v>
      </c>
      <c r="G6" s="22"/>
      <c r="H6" s="112">
        <f>E6/10</f>
        <v>3219484.3</v>
      </c>
      <c r="I6" s="112">
        <f>H6/2</f>
        <v>1609742.15</v>
      </c>
      <c r="R6" s="271" t="s">
        <v>5729</v>
      </c>
      <c r="S6" s="271" t="s">
        <v>6486</v>
      </c>
      <c r="T6" s="271">
        <v>23900</v>
      </c>
      <c r="U6" s="286">
        <v>1000</v>
      </c>
      <c r="V6" s="273" t="s">
        <v>6489</v>
      </c>
      <c r="W6" s="273">
        <v>1153</v>
      </c>
      <c r="X6" s="273">
        <f t="shared" si="0"/>
        <v>20468.821398374203</v>
      </c>
      <c r="Y6" s="273">
        <f t="shared" si="1"/>
        <v>20.7285342584562</v>
      </c>
      <c r="Z6" s="93">
        <v>0</v>
      </c>
      <c r="AA6" s="93">
        <f t="shared" si="2"/>
        <v>0</v>
      </c>
      <c r="AB6" s="97" t="s">
        <v>6473</v>
      </c>
      <c r="AC6" s="341"/>
      <c r="AD6" s="341"/>
    </row>
    <row r="7" spans="1:30">
      <c r="A7" s="338"/>
      <c r="B7" s="329" t="s">
        <v>6495</v>
      </c>
      <c r="C7" s="329" t="s">
        <v>6498</v>
      </c>
      <c r="D7" s="329">
        <v>1350757853</v>
      </c>
      <c r="E7" s="329">
        <v>0</v>
      </c>
      <c r="F7" s="329">
        <v>226923864</v>
      </c>
      <c r="G7" s="22"/>
      <c r="H7" s="112"/>
      <c r="I7" s="112"/>
      <c r="R7" s="271" t="s">
        <v>5739</v>
      </c>
      <c r="S7" s="271" t="s">
        <v>6486</v>
      </c>
      <c r="T7" s="271">
        <v>22500</v>
      </c>
      <c r="U7" s="286">
        <v>2000</v>
      </c>
      <c r="V7" s="273" t="s">
        <v>6488</v>
      </c>
      <c r="W7" s="273">
        <v>1093</v>
      </c>
      <c r="X7" s="273">
        <f t="shared" si="0"/>
        <v>40655.246136679802</v>
      </c>
      <c r="Y7" s="273">
        <f t="shared" si="1"/>
        <v>20.585544373284538</v>
      </c>
      <c r="Z7" s="93">
        <v>0</v>
      </c>
      <c r="AA7" s="93">
        <f t="shared" si="2"/>
        <v>0</v>
      </c>
      <c r="AB7" s="97" t="s">
        <v>6473</v>
      </c>
      <c r="AC7" s="341"/>
      <c r="AD7" s="341"/>
    </row>
    <row r="8" spans="1:30" ht="30">
      <c r="A8" s="41">
        <v>1</v>
      </c>
      <c r="B8" s="330" t="s">
        <v>6499</v>
      </c>
      <c r="C8" s="330" t="s">
        <v>6500</v>
      </c>
      <c r="D8" s="330">
        <v>0</v>
      </c>
      <c r="E8" s="330">
        <v>417254126</v>
      </c>
      <c r="F8" s="330">
        <v>417260507</v>
      </c>
      <c r="G8" s="22" t="s">
        <v>6501</v>
      </c>
      <c r="H8" s="112"/>
      <c r="I8" s="112"/>
      <c r="R8" s="271" t="s">
        <v>6457</v>
      </c>
      <c r="S8" s="271" t="s">
        <v>6485</v>
      </c>
      <c r="T8" s="271">
        <v>23706</v>
      </c>
      <c r="U8" s="286">
        <v>1000</v>
      </c>
      <c r="V8" s="273" t="s">
        <v>4216</v>
      </c>
      <c r="W8" s="273">
        <v>1155</v>
      </c>
      <c r="X8" s="273">
        <f t="shared" si="0"/>
        <v>20267.516662882761</v>
      </c>
      <c r="Y8" s="273">
        <f t="shared" si="1"/>
        <v>20.524675324675325</v>
      </c>
      <c r="Z8" s="93">
        <v>0</v>
      </c>
      <c r="AA8" s="93">
        <f t="shared" si="2"/>
        <v>0</v>
      </c>
      <c r="AB8" s="97" t="s">
        <v>6473</v>
      </c>
      <c r="AC8" s="341"/>
      <c r="AD8" s="341"/>
    </row>
    <row r="9" spans="1:30">
      <c r="A9" s="41">
        <v>2</v>
      </c>
      <c r="B9" s="330" t="s">
        <v>6499</v>
      </c>
      <c r="C9" s="330" t="s">
        <v>6502</v>
      </c>
      <c r="D9" s="330">
        <v>417153593</v>
      </c>
      <c r="E9" s="330">
        <v>0</v>
      </c>
      <c r="F9" s="330">
        <v>106914</v>
      </c>
      <c r="G9" s="22"/>
      <c r="H9" s="112"/>
      <c r="I9" s="112"/>
      <c r="R9" s="60" t="s">
        <v>6457</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6463</v>
      </c>
      <c r="AC9" s="341"/>
      <c r="AD9" s="341" t="s">
        <v>25</v>
      </c>
    </row>
    <row r="10" spans="1:30">
      <c r="A10" s="41">
        <v>3</v>
      </c>
      <c r="B10" s="329" t="s">
        <v>6503</v>
      </c>
      <c r="C10" s="331" t="s">
        <v>6504</v>
      </c>
      <c r="D10" s="331">
        <v>0</v>
      </c>
      <c r="E10" s="331">
        <v>234963645</v>
      </c>
      <c r="F10" s="331">
        <v>235147671</v>
      </c>
      <c r="G10" s="22"/>
      <c r="H10" s="112"/>
      <c r="I10" s="112"/>
      <c r="R10" s="341"/>
      <c r="S10" s="341"/>
      <c r="T10" s="341"/>
      <c r="U10" s="341"/>
      <c r="V10" s="341"/>
      <c r="W10" s="341"/>
      <c r="X10" s="341"/>
      <c r="Y10" s="341"/>
      <c r="Z10" s="341"/>
    </row>
    <row r="11" spans="1:30">
      <c r="A11" s="330">
        <v>4</v>
      </c>
      <c r="B11" s="330" t="s">
        <v>6503</v>
      </c>
      <c r="C11" s="330" t="s">
        <v>6505</v>
      </c>
      <c r="D11" s="330">
        <v>0</v>
      </c>
      <c r="E11" s="330">
        <v>370711163</v>
      </c>
      <c r="F11" s="330">
        <v>605858834</v>
      </c>
      <c r="G11" s="22"/>
      <c r="H11" s="112"/>
      <c r="I11" s="112"/>
      <c r="R11" s="341"/>
      <c r="S11" s="341"/>
      <c r="T11" s="341"/>
      <c r="U11" s="341"/>
      <c r="V11" s="341"/>
      <c r="W11" s="341"/>
      <c r="X11" s="341"/>
      <c r="Y11" s="341"/>
      <c r="Z11" s="341"/>
    </row>
    <row r="12" spans="1:30" ht="30">
      <c r="A12" s="330">
        <v>5</v>
      </c>
      <c r="B12" s="329" t="s">
        <v>6503</v>
      </c>
      <c r="C12" s="330" t="s">
        <v>6506</v>
      </c>
      <c r="D12" s="331">
        <v>605852453</v>
      </c>
      <c r="E12" s="331">
        <v>0</v>
      </c>
      <c r="F12" s="331">
        <v>6381</v>
      </c>
      <c r="G12" s="22" t="s">
        <v>6507</v>
      </c>
      <c r="H12" s="112"/>
      <c r="I12" s="112"/>
      <c r="R12" s="341"/>
      <c r="S12" s="341"/>
      <c r="T12" s="341"/>
      <c r="U12" s="341"/>
      <c r="V12" s="341"/>
      <c r="W12" s="341"/>
      <c r="X12" s="341"/>
      <c r="Y12" s="341"/>
      <c r="Z12" s="341"/>
    </row>
    <row r="13" spans="1:30">
      <c r="A13" s="41">
        <v>11</v>
      </c>
      <c r="B13" s="41" t="s">
        <v>6353</v>
      </c>
      <c r="C13" s="41" t="s">
        <v>6508</v>
      </c>
      <c r="D13" s="41">
        <v>88258180</v>
      </c>
      <c r="E13" s="41">
        <v>0</v>
      </c>
      <c r="F13" s="41">
        <v>184108</v>
      </c>
      <c r="G13" s="22" t="s">
        <v>6509</v>
      </c>
      <c r="H13" s="112"/>
      <c r="I13" s="112"/>
      <c r="R13" s="341"/>
      <c r="S13" s="341"/>
      <c r="T13" s="341"/>
      <c r="U13" s="341"/>
      <c r="V13" s="341"/>
      <c r="W13" s="341"/>
      <c r="X13" s="341"/>
      <c r="Y13" s="341"/>
      <c r="Z13" s="341"/>
    </row>
    <row r="14" spans="1:30">
      <c r="A14" s="332">
        <v>12</v>
      </c>
      <c r="B14" s="332" t="s">
        <v>6510</v>
      </c>
      <c r="C14" s="332" t="s">
        <v>6511</v>
      </c>
      <c r="D14" s="332">
        <v>0</v>
      </c>
      <c r="E14" s="332">
        <v>88371992</v>
      </c>
      <c r="F14" s="332">
        <v>88442288</v>
      </c>
      <c r="G14" s="22"/>
      <c r="H14" s="112"/>
      <c r="I14" s="112"/>
    </row>
    <row r="15" spans="1:30">
      <c r="A15" s="333">
        <v>15</v>
      </c>
      <c r="B15" s="329" t="s">
        <v>6512</v>
      </c>
      <c r="C15" s="333" t="s">
        <v>6513</v>
      </c>
      <c r="D15" s="333">
        <v>0</v>
      </c>
      <c r="E15" s="333">
        <v>446040000</v>
      </c>
      <c r="F15" s="333">
        <v>455337264</v>
      </c>
      <c r="G15" s="22"/>
      <c r="H15" s="112"/>
      <c r="I15" s="112"/>
    </row>
    <row r="16" spans="1:30">
      <c r="A16" s="41">
        <v>16</v>
      </c>
      <c r="B16" s="41" t="s">
        <v>6512</v>
      </c>
      <c r="C16" s="41" t="s">
        <v>6514</v>
      </c>
      <c r="D16" s="41">
        <v>0</v>
      </c>
      <c r="E16" s="41">
        <v>5458523</v>
      </c>
      <c r="F16" s="41">
        <v>460795787</v>
      </c>
      <c r="G16" s="22"/>
      <c r="H16" s="112"/>
      <c r="I16" s="112"/>
    </row>
    <row r="17" spans="1:9">
      <c r="A17" s="333">
        <v>17</v>
      </c>
      <c r="B17" s="329" t="s">
        <v>6512</v>
      </c>
      <c r="C17" s="333" t="s">
        <v>6515</v>
      </c>
      <c r="D17" s="333">
        <v>460784299</v>
      </c>
      <c r="E17" s="333">
        <v>0</v>
      </c>
      <c r="F17" s="333">
        <v>11488</v>
      </c>
      <c r="G17" s="22"/>
      <c r="H17" s="112"/>
      <c r="I17" s="112"/>
    </row>
    <row r="18" spans="1:9">
      <c r="A18" s="334">
        <v>19</v>
      </c>
      <c r="B18" s="329" t="s">
        <v>6516</v>
      </c>
      <c r="C18" s="334" t="s">
        <v>6517</v>
      </c>
      <c r="D18" s="334">
        <v>0</v>
      </c>
      <c r="E18" s="334">
        <v>236896800</v>
      </c>
      <c r="F18" s="334">
        <v>247051542</v>
      </c>
      <c r="G18" s="22"/>
      <c r="H18" s="112"/>
      <c r="I18" s="112"/>
    </row>
    <row r="19" spans="1:9">
      <c r="A19" s="334">
        <v>22</v>
      </c>
      <c r="B19" s="329" t="s">
        <v>6516</v>
      </c>
      <c r="C19" s="334" t="s">
        <v>6518</v>
      </c>
      <c r="D19" s="334">
        <v>244418699</v>
      </c>
      <c r="E19" s="334">
        <v>0</v>
      </c>
      <c r="F19" s="334">
        <v>8048350</v>
      </c>
      <c r="G19" s="22"/>
      <c r="H19" s="112"/>
      <c r="I19" s="112"/>
    </row>
    <row r="20" spans="1:9">
      <c r="A20" s="335">
        <v>23</v>
      </c>
      <c r="B20" s="329" t="s">
        <v>6519</v>
      </c>
      <c r="C20" s="335" t="s">
        <v>6520</v>
      </c>
      <c r="D20" s="335">
        <v>0</v>
      </c>
      <c r="E20" s="335">
        <v>230286491</v>
      </c>
      <c r="F20" s="335">
        <v>238422914</v>
      </c>
      <c r="G20" s="22"/>
      <c r="H20" s="112"/>
      <c r="I20" s="112"/>
    </row>
    <row r="21" spans="1:9">
      <c r="A21" s="335">
        <v>24</v>
      </c>
      <c r="B21" s="329" t="s">
        <v>6519</v>
      </c>
      <c r="C21" s="335" t="s">
        <v>6521</v>
      </c>
      <c r="D21" s="335">
        <v>228268172</v>
      </c>
      <c r="E21" s="335">
        <v>0</v>
      </c>
      <c r="F21" s="335">
        <v>10154742</v>
      </c>
      <c r="G21" s="22"/>
      <c r="H21" s="112"/>
      <c r="I21" s="112"/>
    </row>
    <row r="22" spans="1:9">
      <c r="A22" s="336">
        <v>25</v>
      </c>
      <c r="B22" s="329" t="s">
        <v>6522</v>
      </c>
      <c r="C22" s="336" t="s">
        <v>6523</v>
      </c>
      <c r="D22" s="336">
        <v>0</v>
      </c>
      <c r="E22" s="336">
        <v>222228038</v>
      </c>
      <c r="F22" s="336">
        <v>230347490</v>
      </c>
      <c r="G22" s="22"/>
      <c r="H22" s="112"/>
      <c r="I22" s="112"/>
    </row>
    <row r="23" spans="1:9">
      <c r="A23" s="336">
        <v>26</v>
      </c>
      <c r="B23" s="329" t="s">
        <v>6522</v>
      </c>
      <c r="C23" s="336" t="s">
        <v>6524</v>
      </c>
      <c r="D23" s="336">
        <v>222211067</v>
      </c>
      <c r="E23" s="336">
        <v>0</v>
      </c>
      <c r="F23" s="336">
        <v>8136423</v>
      </c>
      <c r="G23" s="22"/>
      <c r="H23" s="112"/>
      <c r="I23" s="112"/>
    </row>
    <row r="24" spans="1:9">
      <c r="A24" s="337">
        <v>27</v>
      </c>
      <c r="B24" s="337" t="s">
        <v>6525</v>
      </c>
      <c r="C24" s="337" t="s">
        <v>6526</v>
      </c>
      <c r="D24" s="337">
        <v>0</v>
      </c>
      <c r="E24" s="337">
        <v>396757423</v>
      </c>
      <c r="F24" s="337">
        <v>404903981</v>
      </c>
      <c r="G24" s="22"/>
      <c r="H24" s="112"/>
      <c r="I24" s="112"/>
    </row>
    <row r="25" spans="1:9" ht="30">
      <c r="A25" s="337">
        <v>28</v>
      </c>
      <c r="B25" s="337" t="s">
        <v>6525</v>
      </c>
      <c r="C25" s="337" t="s">
        <v>6527</v>
      </c>
      <c r="D25" s="337">
        <v>396784529</v>
      </c>
      <c r="E25" s="337">
        <v>0</v>
      </c>
      <c r="F25" s="337">
        <v>8119452</v>
      </c>
      <c r="G25" s="22" t="s">
        <v>6528</v>
      </c>
      <c r="H25" s="112"/>
      <c r="I25" s="112"/>
    </row>
    <row r="26" spans="1:9">
      <c r="A26" s="41">
        <v>41</v>
      </c>
      <c r="B26" s="41" t="s">
        <v>6529</v>
      </c>
      <c r="C26" s="41" t="s">
        <v>6530</v>
      </c>
      <c r="D26" s="41">
        <v>9935956</v>
      </c>
      <c r="E26" s="41">
        <v>0</v>
      </c>
      <c r="F26" s="41">
        <v>4150875</v>
      </c>
      <c r="G26" s="22"/>
      <c r="H26" s="112"/>
      <c r="I26" s="112"/>
    </row>
    <row r="27" spans="1:9" ht="30">
      <c r="A27" s="332">
        <v>46</v>
      </c>
      <c r="B27" s="332" t="s">
        <v>6531</v>
      </c>
      <c r="C27" s="332" t="s">
        <v>6532</v>
      </c>
      <c r="D27" s="332">
        <v>13072</v>
      </c>
      <c r="E27" s="332">
        <v>0</v>
      </c>
      <c r="F27" s="332">
        <v>4639060</v>
      </c>
      <c r="G27" s="22" t="s">
        <v>6533</v>
      </c>
      <c r="H27" s="112"/>
      <c r="I27" s="112"/>
    </row>
    <row r="28" spans="1:9">
      <c r="A28" s="41">
        <v>59</v>
      </c>
      <c r="B28" s="41" t="s">
        <v>6534</v>
      </c>
      <c r="C28" s="41" t="s">
        <v>6535</v>
      </c>
      <c r="D28" s="41">
        <v>0</v>
      </c>
      <c r="E28" s="41">
        <v>2339234</v>
      </c>
      <c r="F28" s="41">
        <v>2355939</v>
      </c>
      <c r="G28" s="22"/>
      <c r="H28" s="112"/>
      <c r="I28" s="112"/>
    </row>
    <row r="29" spans="1:9">
      <c r="A29" s="333">
        <v>65</v>
      </c>
      <c r="B29" s="333" t="s">
        <v>6536</v>
      </c>
      <c r="C29" s="333" t="s">
        <v>6537</v>
      </c>
      <c r="D29" s="333">
        <v>0</v>
      </c>
      <c r="E29" s="333">
        <v>161458284</v>
      </c>
      <c r="F29" s="333">
        <v>379598720</v>
      </c>
      <c r="G29" s="22" t="s">
        <v>6538</v>
      </c>
      <c r="H29" s="112">
        <f>(E29-D31)/10</f>
        <v>987467.4</v>
      </c>
      <c r="I29" s="112">
        <f>H29/2</f>
        <v>493733.7</v>
      </c>
    </row>
    <row r="30" spans="1:9">
      <c r="A30" s="41">
        <v>66</v>
      </c>
      <c r="B30" s="41" t="s">
        <v>6536</v>
      </c>
      <c r="C30" s="41" t="s">
        <v>6539</v>
      </c>
      <c r="D30" s="41">
        <v>227863316</v>
      </c>
      <c r="E30" s="41">
        <v>0</v>
      </c>
      <c r="F30" s="41">
        <v>151735404</v>
      </c>
      <c r="G30" s="22"/>
    </row>
    <row r="31" spans="1:9">
      <c r="A31" s="333">
        <v>67</v>
      </c>
      <c r="B31" s="333" t="s">
        <v>6536</v>
      </c>
      <c r="C31" s="333" t="s">
        <v>6540</v>
      </c>
      <c r="D31" s="333">
        <v>151583610</v>
      </c>
      <c r="E31" s="333">
        <v>0</v>
      </c>
      <c r="F31" s="333">
        <v>151794</v>
      </c>
      <c r="G31" s="22"/>
    </row>
    <row r="32" spans="1:9">
      <c r="A32" s="41">
        <v>69</v>
      </c>
      <c r="B32" s="41" t="s">
        <v>6541</v>
      </c>
      <c r="C32" s="41" t="s">
        <v>6542</v>
      </c>
      <c r="D32" s="41">
        <v>86650200</v>
      </c>
      <c r="E32" s="41">
        <v>0</v>
      </c>
      <c r="F32" s="41">
        <v>420268653</v>
      </c>
      <c r="G32" s="22"/>
    </row>
    <row r="33" spans="1:9">
      <c r="A33" s="41">
        <v>71</v>
      </c>
      <c r="B33" s="41" t="s">
        <v>6541</v>
      </c>
      <c r="C33" s="41" t="s">
        <v>6543</v>
      </c>
      <c r="D33" s="41">
        <v>135477677</v>
      </c>
      <c r="E33" s="41">
        <v>0</v>
      </c>
      <c r="F33" s="41">
        <v>223507936</v>
      </c>
      <c r="G33" s="22"/>
    </row>
    <row r="34" spans="1:9">
      <c r="A34" s="41">
        <v>73</v>
      </c>
      <c r="B34" s="41" t="s">
        <v>6541</v>
      </c>
      <c r="C34" s="41" t="s">
        <v>6544</v>
      </c>
      <c r="D34" s="41">
        <v>69492638</v>
      </c>
      <c r="E34" s="41">
        <v>0</v>
      </c>
      <c r="F34" s="41">
        <v>153774186</v>
      </c>
      <c r="G34" s="22"/>
    </row>
    <row r="35" spans="1:9">
      <c r="A35" s="41">
        <v>79</v>
      </c>
      <c r="B35" s="41" t="s">
        <v>6545</v>
      </c>
      <c r="C35" s="41" t="s">
        <v>6546</v>
      </c>
      <c r="D35" s="41">
        <v>338468093</v>
      </c>
      <c r="E35" s="41">
        <v>0</v>
      </c>
      <c r="F35" s="41">
        <v>-338350050</v>
      </c>
      <c r="G35" s="22"/>
    </row>
    <row r="36" spans="1:9">
      <c r="A36" s="41">
        <v>80</v>
      </c>
      <c r="B36" s="41" t="s">
        <v>6547</v>
      </c>
      <c r="C36" s="41" t="s">
        <v>6548</v>
      </c>
      <c r="D36" s="41">
        <v>330081591</v>
      </c>
      <c r="E36" s="41">
        <v>0</v>
      </c>
      <c r="F36" s="41">
        <v>-330057613</v>
      </c>
      <c r="G36" s="22"/>
    </row>
    <row r="37" spans="1:9">
      <c r="A37" s="41">
        <v>81</v>
      </c>
      <c r="B37" s="41" t="s">
        <v>6547</v>
      </c>
      <c r="C37" s="41" t="s">
        <v>6549</v>
      </c>
      <c r="D37" s="41">
        <v>169824344</v>
      </c>
      <c r="E37" s="41">
        <v>0</v>
      </c>
      <c r="F37" s="41">
        <v>-499881957</v>
      </c>
      <c r="G37" s="22"/>
    </row>
    <row r="38" spans="1:9">
      <c r="A38" s="41">
        <v>82</v>
      </c>
      <c r="B38" s="41" t="s">
        <v>6550</v>
      </c>
      <c r="C38" s="41" t="s">
        <v>6551</v>
      </c>
      <c r="D38" s="41">
        <v>176497082</v>
      </c>
      <c r="E38" s="41">
        <v>0</v>
      </c>
      <c r="F38" s="41">
        <v>152229958</v>
      </c>
      <c r="G38" s="22"/>
    </row>
    <row r="39" spans="1:9">
      <c r="A39" s="41">
        <v>83</v>
      </c>
      <c r="B39" s="41" t="s">
        <v>6550</v>
      </c>
      <c r="C39" s="41" t="s">
        <v>6552</v>
      </c>
      <c r="D39" s="41">
        <v>152205980</v>
      </c>
      <c r="E39" s="41">
        <v>0</v>
      </c>
      <c r="F39" s="41">
        <v>23978</v>
      </c>
      <c r="G39" s="22"/>
    </row>
    <row r="40" spans="1:9">
      <c r="A40" s="41">
        <v>85</v>
      </c>
      <c r="B40" s="41" t="s">
        <v>6553</v>
      </c>
      <c r="C40" s="41" t="s">
        <v>6554</v>
      </c>
      <c r="D40" s="41">
        <v>170329802</v>
      </c>
      <c r="E40" s="41">
        <v>0</v>
      </c>
      <c r="F40" s="41">
        <v>329670198</v>
      </c>
      <c r="G40" s="22"/>
    </row>
    <row r="41" spans="1:9">
      <c r="A41" s="41">
        <v>86</v>
      </c>
      <c r="B41" s="41" t="s">
        <v>6555</v>
      </c>
      <c r="C41" s="41" t="s">
        <v>6556</v>
      </c>
      <c r="D41" s="41">
        <v>0</v>
      </c>
      <c r="E41" s="41">
        <v>0</v>
      </c>
      <c r="F41" s="41">
        <v>0</v>
      </c>
      <c r="H41" s="94">
        <f>SUM(H6:H40)</f>
        <v>4206951.7</v>
      </c>
      <c r="I41" s="94">
        <f>SUM(I6:I40)</f>
        <v>2103475.85</v>
      </c>
    </row>
    <row r="42" spans="1:9">
      <c r="A42" s="41">
        <v>87</v>
      </c>
      <c r="G42" s="22"/>
      <c r="H42" s="22" t="s">
        <v>6557</v>
      </c>
      <c r="I42" s="94" t="s">
        <v>6558</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4774</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4606</v>
      </c>
      <c r="L18" s="167">
        <v>4291628</v>
      </c>
      <c r="M18" s="206">
        <v>0.5</v>
      </c>
      <c r="N18" s="111">
        <v>2145814</v>
      </c>
      <c r="O18" s="97" t="s">
        <v>743</v>
      </c>
    </row>
    <row r="19" spans="1:20">
      <c r="A19" s="94"/>
      <c r="B19" s="94"/>
      <c r="C19" s="94"/>
      <c r="D19" s="94"/>
      <c r="J19" s="206">
        <v>18</v>
      </c>
      <c r="K19" s="206" t="s">
        <v>4606</v>
      </c>
      <c r="L19" s="167">
        <v>4291628</v>
      </c>
      <c r="M19" s="206">
        <v>0.5</v>
      </c>
      <c r="N19" s="111">
        <v>2145814</v>
      </c>
      <c r="O19" s="97" t="s">
        <v>452</v>
      </c>
      <c r="R19" t="s">
        <v>25</v>
      </c>
      <c r="T19" t="s">
        <v>25</v>
      </c>
    </row>
    <row r="20" spans="1:20">
      <c r="J20" s="206">
        <v>19</v>
      </c>
      <c r="K20" s="206" t="s">
        <v>4617</v>
      </c>
      <c r="L20" s="167">
        <v>4369730</v>
      </c>
      <c r="M20" s="206">
        <v>1</v>
      </c>
      <c r="N20" s="111">
        <f t="shared" ref="N20:N38" si="0">L20*M20</f>
        <v>4369730</v>
      </c>
      <c r="O20" s="97" t="s">
        <v>743</v>
      </c>
    </row>
    <row r="21" spans="1:20">
      <c r="J21" s="206">
        <v>20</v>
      </c>
      <c r="K21" s="206" t="s">
        <v>4617</v>
      </c>
      <c r="L21" s="167">
        <v>4369730</v>
      </c>
      <c r="M21" s="206">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6">
        <v>22</v>
      </c>
      <c r="K23" s="206" t="s">
        <v>4618</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4618</v>
      </c>
      <c r="L24" s="211">
        <v>4388600</v>
      </c>
      <c r="M24" s="210">
        <v>5</v>
      </c>
      <c r="N24" s="211">
        <f t="shared" si="0"/>
        <v>21943000</v>
      </c>
      <c r="O24" s="212" t="s">
        <v>4629</v>
      </c>
    </row>
    <row r="25" spans="1:20">
      <c r="A25" s="97" t="s">
        <v>4591</v>
      </c>
      <c r="B25" s="93">
        <v>4100000</v>
      </c>
      <c r="C25" s="93">
        <v>4230000</v>
      </c>
      <c r="D25" s="93"/>
      <c r="E25" s="93"/>
      <c r="J25" s="206">
        <v>24</v>
      </c>
      <c r="K25" s="206" t="s">
        <v>4619</v>
      </c>
      <c r="L25" s="111">
        <v>4445103</v>
      </c>
      <c r="M25" s="206">
        <v>1.5</v>
      </c>
      <c r="N25" s="111">
        <f t="shared" si="0"/>
        <v>6667654.5</v>
      </c>
      <c r="O25" s="97" t="s">
        <v>743</v>
      </c>
    </row>
    <row r="26" spans="1:20">
      <c r="A26" s="97" t="s">
        <v>4593</v>
      </c>
      <c r="B26" s="93">
        <v>4230000</v>
      </c>
      <c r="C26" s="93">
        <v>4330000</v>
      </c>
      <c r="D26" s="93">
        <v>12200</v>
      </c>
      <c r="E26" s="93">
        <v>12350</v>
      </c>
      <c r="J26" s="206">
        <v>25</v>
      </c>
      <c r="K26" s="206" t="s">
        <v>4619</v>
      </c>
      <c r="L26" s="111">
        <v>4445103</v>
      </c>
      <c r="M26" s="206">
        <v>1.5</v>
      </c>
      <c r="N26" s="111">
        <f t="shared" si="0"/>
        <v>6667654.5</v>
      </c>
      <c r="O26" s="97" t="s">
        <v>452</v>
      </c>
      <c r="R26" t="s">
        <v>25</v>
      </c>
    </row>
    <row r="27" spans="1:20">
      <c r="A27" s="97" t="s">
        <v>4601</v>
      </c>
      <c r="B27" s="93">
        <v>4270000</v>
      </c>
      <c r="C27" s="93">
        <v>4370000</v>
      </c>
      <c r="D27" s="93"/>
      <c r="E27" s="93"/>
      <c r="J27" s="206">
        <v>26</v>
      </c>
      <c r="K27" s="206" t="s">
        <v>4628</v>
      </c>
      <c r="L27" s="111">
        <v>4490623</v>
      </c>
      <c r="M27" s="206">
        <v>2</v>
      </c>
      <c r="N27" s="111">
        <f t="shared" si="0"/>
        <v>8981246</v>
      </c>
      <c r="O27" s="97" t="s">
        <v>743</v>
      </c>
      <c r="R27" t="s">
        <v>25</v>
      </c>
      <c r="S27" t="s">
        <v>25</v>
      </c>
    </row>
    <row r="28" spans="1:20">
      <c r="A28" s="97" t="s">
        <v>4606</v>
      </c>
      <c r="B28" s="93">
        <v>3980000</v>
      </c>
      <c r="C28" s="93">
        <v>4120000</v>
      </c>
      <c r="D28" s="93">
        <v>11450</v>
      </c>
      <c r="E28" s="93">
        <v>11650</v>
      </c>
      <c r="J28" s="206">
        <v>27</v>
      </c>
      <c r="K28" s="206" t="s">
        <v>4628</v>
      </c>
      <c r="L28" s="111">
        <v>4490623</v>
      </c>
      <c r="M28" s="206">
        <v>2</v>
      </c>
      <c r="N28" s="111">
        <f t="shared" si="0"/>
        <v>8981246</v>
      </c>
      <c r="O28" s="97" t="s">
        <v>452</v>
      </c>
    </row>
    <row r="29" spans="1:20">
      <c r="A29" s="97" t="s">
        <v>4608</v>
      </c>
      <c r="B29" s="93">
        <v>4120000</v>
      </c>
      <c r="C29" s="93">
        <v>4230000</v>
      </c>
      <c r="D29" s="93">
        <v>11650</v>
      </c>
      <c r="E29" s="93">
        <v>11750</v>
      </c>
      <c r="J29" s="206">
        <v>28</v>
      </c>
      <c r="K29" s="206" t="s">
        <v>3666</v>
      </c>
      <c r="L29" s="111">
        <v>4590878</v>
      </c>
      <c r="M29" s="206">
        <v>2</v>
      </c>
      <c r="N29" s="111">
        <f t="shared" si="0"/>
        <v>9181756</v>
      </c>
      <c r="O29" s="97" t="s">
        <v>743</v>
      </c>
    </row>
    <row r="30" spans="1:20">
      <c r="A30" s="97" t="s">
        <v>4609</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4615</v>
      </c>
      <c r="B31" s="93">
        <v>4130000</v>
      </c>
      <c r="C31" s="93">
        <v>4260000</v>
      </c>
      <c r="D31" s="93">
        <v>11850</v>
      </c>
      <c r="E31" s="93">
        <v>11950</v>
      </c>
      <c r="J31" s="206">
        <v>30</v>
      </c>
      <c r="K31" s="206" t="s">
        <v>4640</v>
      </c>
      <c r="L31" s="111">
        <v>4724483</v>
      </c>
      <c r="M31" s="206">
        <v>2.5</v>
      </c>
      <c r="N31" s="111">
        <f t="shared" si="0"/>
        <v>11811207.5</v>
      </c>
      <c r="O31" s="97" t="s">
        <v>743</v>
      </c>
    </row>
    <row r="32" spans="1:20">
      <c r="A32" s="97" t="s">
        <v>4617</v>
      </c>
      <c r="B32" s="93">
        <v>4100000</v>
      </c>
      <c r="C32" s="93">
        <v>4220000</v>
      </c>
      <c r="D32" s="93">
        <v>11800</v>
      </c>
      <c r="E32" s="93">
        <v>11980</v>
      </c>
      <c r="J32" s="206">
        <v>31</v>
      </c>
      <c r="K32" s="206" t="s">
        <v>4640</v>
      </c>
      <c r="L32" s="111">
        <v>4724483</v>
      </c>
      <c r="M32" s="206">
        <v>2.5</v>
      </c>
      <c r="N32" s="111">
        <f t="shared" si="0"/>
        <v>11811207.5</v>
      </c>
      <c r="O32" s="97" t="s">
        <v>452</v>
      </c>
    </row>
    <row r="33" spans="1:19">
      <c r="A33" s="97" t="s">
        <v>4618</v>
      </c>
      <c r="B33" s="93">
        <v>4220000</v>
      </c>
      <c r="C33" s="93">
        <v>4320000</v>
      </c>
      <c r="D33" s="93">
        <v>11900</v>
      </c>
      <c r="E33" s="93">
        <v>12050</v>
      </c>
      <c r="J33" s="206">
        <v>32</v>
      </c>
      <c r="K33" s="206" t="s">
        <v>4654</v>
      </c>
      <c r="L33" s="111">
        <v>4852712</v>
      </c>
      <c r="M33" s="206">
        <v>8.5</v>
      </c>
      <c r="N33" s="111">
        <f t="shared" si="0"/>
        <v>41248052</v>
      </c>
      <c r="O33" s="97" t="s">
        <v>743</v>
      </c>
    </row>
    <row r="34" spans="1:19">
      <c r="A34" s="97" t="s">
        <v>4619</v>
      </c>
      <c r="B34" s="93">
        <v>4240000</v>
      </c>
      <c r="C34" s="93">
        <v>4340000</v>
      </c>
      <c r="D34" s="93">
        <v>12100</v>
      </c>
      <c r="E34" s="93">
        <v>12250</v>
      </c>
      <c r="I34" t="s">
        <v>25</v>
      </c>
      <c r="J34" s="206">
        <v>33</v>
      </c>
      <c r="K34" s="206" t="s">
        <v>4654</v>
      </c>
      <c r="L34" s="111">
        <v>4852712</v>
      </c>
      <c r="M34" s="206">
        <v>8.5</v>
      </c>
      <c r="N34" s="111">
        <f t="shared" si="0"/>
        <v>41248052</v>
      </c>
      <c r="O34" s="97" t="s">
        <v>452</v>
      </c>
    </row>
    <row r="35" spans="1:19">
      <c r="A35" s="97" t="s">
        <v>4628</v>
      </c>
      <c r="B35" s="93">
        <v>4230000</v>
      </c>
      <c r="C35" s="93">
        <v>4370000</v>
      </c>
      <c r="D35" s="93">
        <v>12100</v>
      </c>
      <c r="E35" s="93">
        <v>12250</v>
      </c>
      <c r="J35" s="206">
        <v>34</v>
      </c>
      <c r="K35" s="206" t="s">
        <v>4656</v>
      </c>
      <c r="L35" s="111">
        <v>4977171</v>
      </c>
      <c r="M35" s="206">
        <v>7.5</v>
      </c>
      <c r="N35" s="111">
        <f t="shared" si="0"/>
        <v>37328782.5</v>
      </c>
      <c r="O35" s="97" t="s">
        <v>743</v>
      </c>
    </row>
    <row r="36" spans="1:19">
      <c r="A36" s="97" t="s">
        <v>3666</v>
      </c>
      <c r="B36" s="93">
        <v>4300000</v>
      </c>
      <c r="C36" s="93">
        <v>4420000</v>
      </c>
      <c r="D36" s="93">
        <v>12300</v>
      </c>
      <c r="E36" s="93">
        <v>12400</v>
      </c>
      <c r="J36" s="206">
        <v>35</v>
      </c>
      <c r="K36" s="206" t="s">
        <v>4656</v>
      </c>
      <c r="L36" s="111">
        <v>4977171</v>
      </c>
      <c r="M36" s="206">
        <v>7.5</v>
      </c>
      <c r="N36" s="111">
        <f t="shared" si="0"/>
        <v>37328782.5</v>
      </c>
      <c r="O36" s="97" t="s">
        <v>452</v>
      </c>
      <c r="R36" s="94"/>
    </row>
    <row r="37" spans="1:19">
      <c r="A37" s="97" t="s">
        <v>4640</v>
      </c>
      <c r="B37" s="93">
        <v>4370000</v>
      </c>
      <c r="C37" s="93">
        <v>4480000</v>
      </c>
      <c r="D37" s="93">
        <v>12600</v>
      </c>
      <c r="E37" s="93">
        <v>12700</v>
      </c>
      <c r="J37" s="206">
        <v>36</v>
      </c>
      <c r="K37" s="206" t="s">
        <v>4774</v>
      </c>
      <c r="L37" s="111">
        <v>5048479</v>
      </c>
      <c r="M37" s="206">
        <v>4</v>
      </c>
      <c r="N37" s="111">
        <f t="shared" si="0"/>
        <v>20193916</v>
      </c>
      <c r="O37" s="97" t="s">
        <v>743</v>
      </c>
    </row>
    <row r="38" spans="1:19">
      <c r="A38" s="97" t="s">
        <v>4643</v>
      </c>
      <c r="B38" s="93">
        <v>4470000</v>
      </c>
      <c r="C38" s="93">
        <v>4580000</v>
      </c>
      <c r="D38" s="93">
        <v>13050</v>
      </c>
      <c r="E38" s="93">
        <v>13200</v>
      </c>
      <c r="J38" s="206">
        <v>37</v>
      </c>
      <c r="K38" s="206" t="s">
        <v>4774</v>
      </c>
      <c r="L38" s="111">
        <v>5048479</v>
      </c>
      <c r="M38" s="206">
        <v>9</v>
      </c>
      <c r="N38" s="111">
        <f t="shared" si="0"/>
        <v>45436311</v>
      </c>
      <c r="O38" s="97" t="s">
        <v>452</v>
      </c>
    </row>
    <row r="39" spans="1:19">
      <c r="A39" s="97" t="s">
        <v>4648</v>
      </c>
      <c r="B39" s="93">
        <v>4600000</v>
      </c>
      <c r="C39" s="93">
        <v>4720000</v>
      </c>
      <c r="D39" s="93"/>
      <c r="E39" s="93"/>
      <c r="J39" s="206"/>
      <c r="K39" s="206"/>
      <c r="L39" s="111"/>
      <c r="M39" s="206"/>
      <c r="N39" s="111"/>
      <c r="O39" s="97"/>
    </row>
    <row r="40" spans="1:19">
      <c r="A40" s="97" t="s">
        <v>4654</v>
      </c>
      <c r="B40" s="93">
        <v>4530000</v>
      </c>
      <c r="C40" s="93">
        <v>4680000</v>
      </c>
      <c r="D40" s="93">
        <v>13000</v>
      </c>
      <c r="E40" s="93">
        <v>13150</v>
      </c>
      <c r="J40" s="166"/>
      <c r="K40" s="166"/>
      <c r="L40" s="111" t="s">
        <v>25</v>
      </c>
      <c r="M40" s="166"/>
      <c r="N40" s="111"/>
      <c r="O40" s="97"/>
    </row>
    <row r="41" spans="1:19">
      <c r="A41" s="97" t="s">
        <v>4656</v>
      </c>
      <c r="B41" s="93">
        <v>4750000</v>
      </c>
      <c r="C41" s="93">
        <v>4900000</v>
      </c>
      <c r="D41" s="93">
        <v>13750</v>
      </c>
      <c r="E41" s="93">
        <v>13900</v>
      </c>
      <c r="J41" s="166"/>
      <c r="K41" s="166"/>
      <c r="L41" s="166"/>
      <c r="M41" s="166">
        <f>SUM(M2:M40)</f>
        <v>140</v>
      </c>
      <c r="N41" s="111">
        <f>SUM(N2:N40)</f>
        <v>618472600</v>
      </c>
      <c r="O41" s="167">
        <f>N41/(M41-3)</f>
        <v>4514398.5401459858</v>
      </c>
    </row>
    <row r="42" spans="1:19">
      <c r="A42" s="97" t="s">
        <v>4663</v>
      </c>
      <c r="B42" s="93">
        <v>4700000</v>
      </c>
      <c r="C42" s="93">
        <v>4850000</v>
      </c>
      <c r="D42" s="93">
        <v>13650</v>
      </c>
      <c r="E42" s="93">
        <v>13800</v>
      </c>
      <c r="J42" s="166"/>
      <c r="K42" s="166"/>
      <c r="L42" s="166"/>
      <c r="M42" s="166" t="s">
        <v>6</v>
      </c>
      <c r="N42" s="166"/>
      <c r="O42" s="97"/>
      <c r="P42">
        <f>O44/2</f>
        <v>37328780.5</v>
      </c>
      <c r="Q42">
        <f>O44/15</f>
        <v>4977170.7333333334</v>
      </c>
    </row>
    <row r="43" spans="1:19">
      <c r="A43" s="97" t="s">
        <v>4669</v>
      </c>
      <c r="B43" s="93">
        <v>4550000</v>
      </c>
      <c r="C43" s="93">
        <v>4750000</v>
      </c>
      <c r="D43" s="93">
        <v>13400</v>
      </c>
      <c r="E43" s="93">
        <v>13500</v>
      </c>
      <c r="M43" s="111">
        <f>N41/(M41-3)</f>
        <v>4514398.5401459858</v>
      </c>
      <c r="S43" t="s">
        <v>25</v>
      </c>
    </row>
    <row r="44" spans="1:19">
      <c r="A44" s="97" t="s">
        <v>4675</v>
      </c>
      <c r="B44" s="93">
        <v>4580000</v>
      </c>
      <c r="C44" s="93">
        <v>4750000</v>
      </c>
      <c r="D44" s="93">
        <v>13350</v>
      </c>
      <c r="E44" s="93">
        <v>13500</v>
      </c>
      <c r="I44" s="41"/>
      <c r="M44" s="41" t="s">
        <v>4468</v>
      </c>
      <c r="N44" t="s">
        <v>25</v>
      </c>
      <c r="O44" s="213">
        <v>74657561</v>
      </c>
      <c r="R44" t="s">
        <v>25</v>
      </c>
    </row>
    <row r="45" spans="1:19">
      <c r="A45" s="97" t="s">
        <v>4683</v>
      </c>
      <c r="B45" s="93">
        <v>4500000</v>
      </c>
      <c r="C45" s="93">
        <v>4650000</v>
      </c>
      <c r="D45" s="93">
        <v>13250</v>
      </c>
      <c r="E45" s="93">
        <v>13450</v>
      </c>
    </row>
    <row r="46" spans="1:19">
      <c r="A46" s="97" t="s">
        <v>4688</v>
      </c>
      <c r="B46" s="93">
        <v>4620000</v>
      </c>
      <c r="C46" s="93">
        <v>4770000</v>
      </c>
      <c r="D46" s="93">
        <v>13600</v>
      </c>
      <c r="E46" s="93">
        <v>13700</v>
      </c>
    </row>
    <row r="47" spans="1:19">
      <c r="A47" s="97" t="s">
        <v>4692</v>
      </c>
      <c r="B47" s="93">
        <v>4400000</v>
      </c>
      <c r="C47" s="93">
        <v>4600000</v>
      </c>
      <c r="D47" s="93">
        <v>13200</v>
      </c>
      <c r="E47" s="93">
        <v>13400</v>
      </c>
      <c r="L47">
        <f>140-M41</f>
        <v>0</v>
      </c>
      <c r="M47">
        <f>70-M2-M4-M5-M7-M9-M10-M12-M14-M16-M18-M20-M22-M25-M27-M29-M31-M33-M35-M37</f>
        <v>0</v>
      </c>
      <c r="N47" t="s">
        <v>480</v>
      </c>
    </row>
    <row r="48" spans="1:19">
      <c r="A48" s="97" t="s">
        <v>4693</v>
      </c>
      <c r="B48" s="93">
        <v>4250000</v>
      </c>
      <c r="C48" s="93">
        <v>4450000</v>
      </c>
      <c r="D48" s="93">
        <v>12750</v>
      </c>
      <c r="E48" s="93">
        <v>12900</v>
      </c>
      <c r="M48">
        <f>65-M3-M6-M8-M11-M13-M15-M17-M19-M21-M23-M26-M28-M30-M32-M34-M36-M38</f>
        <v>0</v>
      </c>
      <c r="N48" t="s">
        <v>5</v>
      </c>
    </row>
    <row r="49" spans="1:17">
      <c r="A49" s="97" t="s">
        <v>4700</v>
      </c>
      <c r="B49" s="93">
        <v>4380000</v>
      </c>
      <c r="C49" s="93">
        <v>4520000</v>
      </c>
      <c r="D49" s="93">
        <v>12750</v>
      </c>
      <c r="E49" s="93">
        <v>12900</v>
      </c>
      <c r="K49">
        <v>16</v>
      </c>
      <c r="L49" s="213">
        <v>807756734</v>
      </c>
      <c r="M49">
        <f>L49/16</f>
        <v>50484795.875</v>
      </c>
      <c r="N49">
        <f>M49*4</f>
        <v>201939183.5</v>
      </c>
    </row>
    <row r="50" spans="1:17">
      <c r="A50" s="97" t="s">
        <v>4702</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4721</v>
      </c>
      <c r="B52" s="93">
        <v>4480000</v>
      </c>
      <c r="C52" s="93">
        <v>4600000</v>
      </c>
      <c r="D52" s="93">
        <v>13050</v>
      </c>
      <c r="E52" s="93">
        <v>13200</v>
      </c>
      <c r="K52" s="166" t="s">
        <v>4474</v>
      </c>
      <c r="L52" s="166" t="s">
        <v>1068</v>
      </c>
      <c r="M52" s="166" t="s">
        <v>4216</v>
      </c>
      <c r="N52" s="166" t="s">
        <v>4490</v>
      </c>
      <c r="O52" s="166"/>
    </row>
    <row r="53" spans="1:17">
      <c r="A53" s="97" t="s">
        <v>4723</v>
      </c>
      <c r="B53" s="93">
        <v>4400000</v>
      </c>
      <c r="C53" s="93">
        <v>4550000</v>
      </c>
      <c r="D53" s="93">
        <v>12850</v>
      </c>
      <c r="E53" s="93">
        <v>13000</v>
      </c>
      <c r="K53" s="166" t="s">
        <v>4467</v>
      </c>
      <c r="L53" s="166">
        <v>3390000</v>
      </c>
      <c r="M53" s="166">
        <v>161.4</v>
      </c>
      <c r="N53" s="166">
        <f>L53/M53</f>
        <v>21003.717472118959</v>
      </c>
      <c r="O53" s="166"/>
    </row>
    <row r="54" spans="1:17">
      <c r="A54" s="97" t="s">
        <v>4725</v>
      </c>
      <c r="B54" s="93">
        <v>4400000</v>
      </c>
      <c r="C54" s="93">
        <v>4520000</v>
      </c>
      <c r="D54" s="93">
        <v>12800</v>
      </c>
      <c r="E54" s="93">
        <v>12950</v>
      </c>
      <c r="K54" s="166"/>
      <c r="L54" s="166"/>
      <c r="M54" s="166"/>
      <c r="N54" s="166"/>
      <c r="O54" s="166"/>
    </row>
    <row r="55" spans="1:17">
      <c r="A55" s="97" t="s">
        <v>4728</v>
      </c>
      <c r="B55" s="93">
        <v>4460000</v>
      </c>
      <c r="C55" s="93">
        <v>4580000</v>
      </c>
      <c r="D55" s="93">
        <v>12850</v>
      </c>
      <c r="E55" s="93">
        <v>13000</v>
      </c>
      <c r="K55" s="166"/>
      <c r="L55" s="166"/>
      <c r="M55" s="166"/>
      <c r="N55" s="166"/>
      <c r="O55" s="166"/>
    </row>
    <row r="56" spans="1:17">
      <c r="A56" s="97" t="s">
        <v>4734</v>
      </c>
      <c r="B56" s="93">
        <v>4500000</v>
      </c>
      <c r="C56" s="93">
        <v>4620000</v>
      </c>
      <c r="D56" s="93">
        <v>13000</v>
      </c>
      <c r="E56" s="93">
        <v>13200</v>
      </c>
      <c r="K56" s="166"/>
      <c r="L56" s="166"/>
      <c r="M56" s="166"/>
      <c r="N56" s="166"/>
      <c r="O56" s="166"/>
    </row>
    <row r="57" spans="1:17">
      <c r="A57" s="97" t="s">
        <v>4739</v>
      </c>
      <c r="B57" s="93">
        <v>4450000</v>
      </c>
      <c r="C57" s="93">
        <v>4600000</v>
      </c>
      <c r="D57" s="93">
        <v>12850</v>
      </c>
      <c r="E57" s="93">
        <v>13050</v>
      </c>
      <c r="K57" s="166"/>
      <c r="L57" s="166"/>
      <c r="M57" s="166"/>
      <c r="N57" s="166"/>
      <c r="O57" s="166"/>
    </row>
    <row r="58" spans="1:17">
      <c r="A58" s="97" t="s">
        <v>4748</v>
      </c>
      <c r="B58" s="93">
        <v>4500000</v>
      </c>
      <c r="C58" s="93">
        <v>4650000</v>
      </c>
      <c r="D58" s="93">
        <v>12900</v>
      </c>
      <c r="E58" s="93">
        <v>13100</v>
      </c>
      <c r="K58" s="166"/>
      <c r="L58" s="166"/>
      <c r="M58" s="166"/>
      <c r="N58" s="166"/>
      <c r="O58" s="166"/>
    </row>
    <row r="59" spans="1:17">
      <c r="A59" s="97" t="s">
        <v>4774</v>
      </c>
      <c r="B59" s="93">
        <v>4700000</v>
      </c>
      <c r="C59" s="93">
        <v>4800000</v>
      </c>
      <c r="D59" s="93">
        <v>13300</v>
      </c>
      <c r="E59" s="93">
        <v>13450</v>
      </c>
      <c r="K59" s="166"/>
      <c r="L59" s="166"/>
      <c r="M59" s="166"/>
      <c r="N59" s="166"/>
      <c r="O59" s="166"/>
    </row>
    <row r="60" spans="1:17">
      <c r="A60" s="97" t="s">
        <v>4775</v>
      </c>
      <c r="B60" s="93">
        <v>4750000</v>
      </c>
      <c r="C60" s="93">
        <v>4850000</v>
      </c>
      <c r="D60" s="93">
        <v>13500</v>
      </c>
      <c r="E60" s="93">
        <v>13650</v>
      </c>
      <c r="K60" s="166"/>
      <c r="L60" s="166"/>
      <c r="M60" s="166"/>
      <c r="N60" s="166"/>
      <c r="O60" s="166"/>
    </row>
    <row r="61" spans="1:17">
      <c r="A61" s="97" t="s">
        <v>4782</v>
      </c>
      <c r="B61" s="93">
        <v>4850000</v>
      </c>
      <c r="C61" s="93">
        <v>4950000</v>
      </c>
      <c r="D61" s="93">
        <v>13750</v>
      </c>
      <c r="E61" s="93">
        <v>13900</v>
      </c>
    </row>
    <row r="62" spans="1:17">
      <c r="A62" s="97" t="s">
        <v>4798</v>
      </c>
      <c r="B62" s="93">
        <v>4680000</v>
      </c>
      <c r="C62" s="93">
        <v>4780000</v>
      </c>
      <c r="D62" s="93">
        <v>13500</v>
      </c>
      <c r="E62" s="93">
        <v>13650</v>
      </c>
    </row>
    <row r="63" spans="1:17">
      <c r="A63" s="97" t="s">
        <v>4877</v>
      </c>
      <c r="B63" s="93">
        <v>4700000</v>
      </c>
      <c r="C63" s="93">
        <v>4830000</v>
      </c>
      <c r="D63" s="93">
        <v>13850</v>
      </c>
      <c r="E63" s="93">
        <v>14050</v>
      </c>
      <c r="I63" s="206" t="s">
        <v>8</v>
      </c>
      <c r="J63" s="206" t="s">
        <v>4666</v>
      </c>
      <c r="K63" s="206" t="s">
        <v>180</v>
      </c>
      <c r="L63" s="215" t="s">
        <v>4664</v>
      </c>
      <c r="M63" s="215" t="s">
        <v>4665</v>
      </c>
      <c r="N63" s="206" t="s">
        <v>6</v>
      </c>
      <c r="O63" s="206" t="s">
        <v>4667</v>
      </c>
      <c r="P63" s="206" t="s">
        <v>4677</v>
      </c>
    </row>
    <row r="64" spans="1:17">
      <c r="A64" s="97" t="s">
        <v>4915</v>
      </c>
      <c r="B64" s="93">
        <v>4600000</v>
      </c>
      <c r="C64" s="93">
        <v>4700000</v>
      </c>
      <c r="D64" s="93">
        <v>13300</v>
      </c>
      <c r="E64" s="93">
        <v>13500</v>
      </c>
      <c r="G64" t="s">
        <v>25</v>
      </c>
      <c r="I64" s="206"/>
      <c r="J64" s="206"/>
      <c r="K64" s="206" t="s">
        <v>4618</v>
      </c>
      <c r="L64" s="82">
        <v>535989412</v>
      </c>
      <c r="M64" s="82"/>
      <c r="N64" s="206"/>
      <c r="O64" s="206"/>
      <c r="P64" s="206"/>
      <c r="Q64" s="82">
        <v>0</v>
      </c>
    </row>
    <row r="65" spans="1:17">
      <c r="A65" s="97" t="s">
        <v>4950</v>
      </c>
      <c r="B65" s="93">
        <v>4520000</v>
      </c>
      <c r="C65" s="93">
        <v>4620000</v>
      </c>
      <c r="D65" s="93">
        <v>12950</v>
      </c>
      <c r="E65" s="93">
        <v>13150</v>
      </c>
      <c r="I65" s="206"/>
      <c r="J65" s="111">
        <f>L65-L64</f>
        <v>12939932</v>
      </c>
      <c r="K65" s="206" t="s">
        <v>4643</v>
      </c>
      <c r="L65" s="82">
        <v>548929344</v>
      </c>
      <c r="M65" s="82"/>
      <c r="N65" s="206"/>
      <c r="O65" s="206"/>
      <c r="P65" s="206"/>
      <c r="Q65" s="82">
        <v>0</v>
      </c>
    </row>
    <row r="66" spans="1:17">
      <c r="A66" s="97" t="s">
        <v>4984</v>
      </c>
      <c r="B66" s="93">
        <v>3900000</v>
      </c>
      <c r="C66" s="93">
        <v>4050000</v>
      </c>
      <c r="D66" s="93">
        <v>10900</v>
      </c>
      <c r="E66" s="93">
        <v>11150</v>
      </c>
      <c r="F66" t="s">
        <v>25</v>
      </c>
      <c r="I66" s="206"/>
      <c r="J66" s="111">
        <f t="shared" ref="J66:J88" si="1">L66-L65</f>
        <v>11531981</v>
      </c>
      <c r="K66" s="206" t="s">
        <v>4648</v>
      </c>
      <c r="L66" s="82">
        <v>560461325</v>
      </c>
      <c r="M66" s="82"/>
      <c r="N66" s="206"/>
      <c r="O66" s="206"/>
      <c r="P66" s="206"/>
      <c r="Q66" s="82">
        <v>0</v>
      </c>
    </row>
    <row r="67" spans="1:17">
      <c r="A67" s="97" t="s">
        <v>5023</v>
      </c>
      <c r="B67" s="93">
        <v>3950000</v>
      </c>
      <c r="C67" s="93">
        <v>4070000</v>
      </c>
      <c r="D67" s="93">
        <v>11000</v>
      </c>
      <c r="E67" s="93">
        <v>11200</v>
      </c>
      <c r="I67" s="206"/>
      <c r="J67" s="111">
        <f t="shared" si="1"/>
        <v>17387769</v>
      </c>
      <c r="K67" s="206" t="s">
        <v>4654</v>
      </c>
      <c r="L67" s="82">
        <v>577849094</v>
      </c>
      <c r="M67" s="82"/>
      <c r="N67" s="206"/>
      <c r="O67" s="206"/>
      <c r="P67" s="206"/>
      <c r="Q67" s="82">
        <v>0</v>
      </c>
    </row>
    <row r="68" spans="1:17">
      <c r="A68" s="97" t="s">
        <v>5026</v>
      </c>
      <c r="B68" s="93">
        <v>4050000</v>
      </c>
      <c r="C68" s="93">
        <v>4150000</v>
      </c>
      <c r="D68" s="93">
        <v>11150</v>
      </c>
      <c r="E68" s="93">
        <v>11350</v>
      </c>
      <c r="I68" s="206"/>
      <c r="J68" s="111">
        <f t="shared" si="1"/>
        <v>11024486</v>
      </c>
      <c r="K68" s="206" t="s">
        <v>4656</v>
      </c>
      <c r="L68" s="82">
        <v>588873580</v>
      </c>
      <c r="M68" s="82">
        <v>250255923</v>
      </c>
      <c r="N68" s="111">
        <f>L68+M68</f>
        <v>839129503</v>
      </c>
      <c r="O68" s="111">
        <f>M68-M67</f>
        <v>250255923</v>
      </c>
      <c r="P68" s="111">
        <f>N68-N67</f>
        <v>839129503</v>
      </c>
      <c r="Q68" s="82">
        <v>0</v>
      </c>
    </row>
    <row r="69" spans="1:17">
      <c r="A69" s="97" t="s">
        <v>5047</v>
      </c>
      <c r="B69" s="93">
        <v>4060000</v>
      </c>
      <c r="C69" s="93">
        <v>4160000</v>
      </c>
      <c r="D69" s="93">
        <v>11500</v>
      </c>
      <c r="E69" s="93">
        <v>11700</v>
      </c>
      <c r="I69" s="206"/>
      <c r="J69" s="111">
        <f t="shared" si="1"/>
        <v>-8942851</v>
      </c>
      <c r="K69" s="206" t="s">
        <v>4663</v>
      </c>
      <c r="L69" s="217">
        <v>579930729</v>
      </c>
      <c r="M69" s="82">
        <v>247714729</v>
      </c>
      <c r="N69" s="111">
        <f t="shared" ref="N69:N91" si="2">L69+M69</f>
        <v>827645458</v>
      </c>
      <c r="O69" s="111">
        <f t="shared" ref="O69:O88" si="3">M69-M68</f>
        <v>-2541194</v>
      </c>
      <c r="P69" s="111">
        <f t="shared" ref="P69:P88" si="4">N69-N68</f>
        <v>-11484045</v>
      </c>
      <c r="Q69" s="82">
        <v>0</v>
      </c>
    </row>
    <row r="70" spans="1:17">
      <c r="A70" s="97" t="s">
        <v>5049</v>
      </c>
      <c r="B70" s="93">
        <v>4020000</v>
      </c>
      <c r="C70" s="93">
        <v>4120000</v>
      </c>
      <c r="D70" s="93">
        <v>11400</v>
      </c>
      <c r="E70" s="93">
        <v>11600</v>
      </c>
      <c r="I70" s="5" t="s">
        <v>4674</v>
      </c>
      <c r="J70" s="35">
        <f t="shared" si="1"/>
        <v>45893629</v>
      </c>
      <c r="K70" s="5" t="s">
        <v>4669</v>
      </c>
      <c r="L70" s="218">
        <v>625824358</v>
      </c>
      <c r="M70" s="218">
        <v>243028777</v>
      </c>
      <c r="N70" s="35">
        <f t="shared" si="2"/>
        <v>868853135</v>
      </c>
      <c r="O70" s="35">
        <f t="shared" si="3"/>
        <v>-4685952</v>
      </c>
      <c r="P70" s="35">
        <f>N70-N69-50000000</f>
        <v>-8792323</v>
      </c>
      <c r="Q70" s="82">
        <v>50000000</v>
      </c>
    </row>
    <row r="71" spans="1:17">
      <c r="A71" s="97" t="s">
        <v>5053</v>
      </c>
      <c r="B71" s="93">
        <v>3930000</v>
      </c>
      <c r="C71" s="93">
        <v>4030000</v>
      </c>
      <c r="D71" s="93">
        <v>11100</v>
      </c>
      <c r="E71" s="93">
        <v>11300</v>
      </c>
      <c r="I71" s="206"/>
      <c r="J71" s="111">
        <f t="shared" si="1"/>
        <v>3462014</v>
      </c>
      <c r="K71" s="206" t="s">
        <v>4675</v>
      </c>
      <c r="L71" s="82">
        <v>629286372</v>
      </c>
      <c r="M71" s="82">
        <v>246690884</v>
      </c>
      <c r="N71" s="111">
        <f t="shared" si="2"/>
        <v>875977256</v>
      </c>
      <c r="O71" s="111">
        <f t="shared" si="3"/>
        <v>3662107</v>
      </c>
      <c r="P71" s="111">
        <f t="shared" si="4"/>
        <v>7124121</v>
      </c>
      <c r="Q71" s="82">
        <v>0</v>
      </c>
    </row>
    <row r="72" spans="1:17">
      <c r="A72" s="97" t="s">
        <v>5055</v>
      </c>
      <c r="B72" s="93">
        <v>3950000</v>
      </c>
      <c r="C72" s="93">
        <v>4050000</v>
      </c>
      <c r="D72" s="93">
        <v>11200</v>
      </c>
      <c r="E72" s="93">
        <v>11300</v>
      </c>
      <c r="I72" s="206"/>
      <c r="J72" s="111">
        <f t="shared" si="1"/>
        <v>-2687296</v>
      </c>
      <c r="K72" s="206" t="s">
        <v>4688</v>
      </c>
      <c r="L72" s="82">
        <v>626599076</v>
      </c>
      <c r="M72" s="82">
        <v>244530128</v>
      </c>
      <c r="N72" s="111">
        <f t="shared" si="2"/>
        <v>871129204</v>
      </c>
      <c r="O72" s="111">
        <f t="shared" si="3"/>
        <v>-2160756</v>
      </c>
      <c r="P72" s="111">
        <f t="shared" si="4"/>
        <v>-4848052</v>
      </c>
      <c r="Q72" s="82">
        <v>0</v>
      </c>
    </row>
    <row r="73" spans="1:17">
      <c r="A73" s="97" t="s">
        <v>5056</v>
      </c>
      <c r="B73" s="93">
        <v>3970000</v>
      </c>
      <c r="C73" s="93">
        <v>4070000</v>
      </c>
      <c r="D73" s="93">
        <v>11250</v>
      </c>
      <c r="E73" s="93">
        <v>11400</v>
      </c>
      <c r="I73" s="206"/>
      <c r="J73" s="111">
        <f t="shared" si="1"/>
        <v>-6009466</v>
      </c>
      <c r="K73" s="206" t="s">
        <v>4692</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4693</v>
      </c>
      <c r="L74" s="82">
        <v>619316539</v>
      </c>
      <c r="M74" s="82">
        <v>242985726</v>
      </c>
      <c r="N74" s="111">
        <f t="shared" si="2"/>
        <v>862302265</v>
      </c>
      <c r="O74" s="111">
        <f t="shared" si="3"/>
        <v>18042</v>
      </c>
      <c r="P74" s="111">
        <f t="shared" si="4"/>
        <v>-1255029</v>
      </c>
      <c r="Q74" s="82">
        <v>0</v>
      </c>
    </row>
    <row r="75" spans="1:17">
      <c r="A75" s="97" t="s">
        <v>5058</v>
      </c>
      <c r="B75" s="93">
        <v>4020000</v>
      </c>
      <c r="C75" s="93">
        <v>4120000</v>
      </c>
      <c r="D75" s="93">
        <v>11350</v>
      </c>
      <c r="E75" s="93">
        <v>11500</v>
      </c>
      <c r="I75" s="206"/>
      <c r="J75" s="111">
        <f t="shared" si="1"/>
        <v>112274</v>
      </c>
      <c r="K75" s="206" t="s">
        <v>4700</v>
      </c>
      <c r="L75" s="82">
        <v>619428813</v>
      </c>
      <c r="M75" s="82">
        <v>242060147</v>
      </c>
      <c r="N75" s="111">
        <f t="shared" si="2"/>
        <v>861488960</v>
      </c>
      <c r="O75" s="111">
        <f t="shared" si="3"/>
        <v>-925579</v>
      </c>
      <c r="P75" s="111">
        <f t="shared" si="4"/>
        <v>-813305</v>
      </c>
      <c r="Q75" s="82">
        <v>0</v>
      </c>
    </row>
    <row r="76" spans="1:17">
      <c r="A76" s="97" t="s">
        <v>5061</v>
      </c>
      <c r="B76" s="93">
        <v>4000000</v>
      </c>
      <c r="C76" s="93">
        <v>4100000</v>
      </c>
      <c r="D76" s="93">
        <v>11250</v>
      </c>
      <c r="E76" s="93">
        <v>11400</v>
      </c>
      <c r="G76" t="s">
        <v>25</v>
      </c>
      <c r="I76" s="206"/>
      <c r="J76" s="111">
        <f t="shared" si="1"/>
        <v>6567221</v>
      </c>
      <c r="K76" s="206" t="s">
        <v>4702</v>
      </c>
      <c r="L76" s="82">
        <v>625996034</v>
      </c>
      <c r="M76" s="82">
        <v>242597875</v>
      </c>
      <c r="N76" s="111">
        <f t="shared" si="2"/>
        <v>868593909</v>
      </c>
      <c r="O76" s="111">
        <f t="shared" si="3"/>
        <v>537728</v>
      </c>
      <c r="P76" s="111">
        <f t="shared" si="4"/>
        <v>7104949</v>
      </c>
      <c r="Q76" s="82">
        <v>0</v>
      </c>
    </row>
    <row r="77" spans="1:17">
      <c r="A77" s="97" t="s">
        <v>5101</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4721</v>
      </c>
      <c r="L78" s="82">
        <v>636519641</v>
      </c>
      <c r="M78" s="82">
        <v>248242879</v>
      </c>
      <c r="N78" s="111">
        <f t="shared" si="2"/>
        <v>884762520</v>
      </c>
      <c r="O78" s="111">
        <f t="shared" si="3"/>
        <v>4357917</v>
      </c>
      <c r="P78" s="111">
        <f t="shared" si="4"/>
        <v>10404473</v>
      </c>
      <c r="Q78" s="82">
        <v>0</v>
      </c>
    </row>
    <row r="79" spans="1:17">
      <c r="A79" s="97" t="s">
        <v>5109</v>
      </c>
      <c r="B79" s="93">
        <v>3940000</v>
      </c>
      <c r="C79" s="93">
        <v>4020000</v>
      </c>
      <c r="D79" s="93">
        <v>11250</v>
      </c>
      <c r="E79" s="93">
        <v>11450</v>
      </c>
      <c r="I79" s="206"/>
      <c r="J79" s="111">
        <f t="shared" si="1"/>
        <v>6885870</v>
      </c>
      <c r="K79" s="206" t="s">
        <v>4723</v>
      </c>
      <c r="L79" s="82">
        <v>643405511</v>
      </c>
      <c r="M79" s="82">
        <v>252682386</v>
      </c>
      <c r="N79" s="111">
        <f t="shared" si="2"/>
        <v>896087897</v>
      </c>
      <c r="O79" s="111">
        <f t="shared" si="3"/>
        <v>4439507</v>
      </c>
      <c r="P79" s="111">
        <f t="shared" si="4"/>
        <v>11325377</v>
      </c>
      <c r="Q79" s="82">
        <v>0</v>
      </c>
    </row>
    <row r="80" spans="1:17">
      <c r="A80" s="97" t="s">
        <v>5112</v>
      </c>
      <c r="B80" s="93">
        <v>3940000</v>
      </c>
      <c r="C80" s="93">
        <v>4020000</v>
      </c>
      <c r="D80" s="93">
        <v>11250</v>
      </c>
      <c r="E80" s="93">
        <v>11450</v>
      </c>
      <c r="G80" t="s">
        <v>25</v>
      </c>
      <c r="I80" s="5" t="s">
        <v>4738</v>
      </c>
      <c r="J80" s="35">
        <f t="shared" si="1"/>
        <v>-1984018</v>
      </c>
      <c r="K80" s="5" t="s">
        <v>4725</v>
      </c>
      <c r="L80" s="218">
        <v>641421493</v>
      </c>
      <c r="M80" s="218">
        <v>250864833</v>
      </c>
      <c r="N80" s="35">
        <f t="shared" si="2"/>
        <v>892286326</v>
      </c>
      <c r="O80" s="35">
        <f t="shared" si="3"/>
        <v>-1817553</v>
      </c>
      <c r="P80" s="35">
        <f>N80-N79-2000000</f>
        <v>-5801571</v>
      </c>
      <c r="Q80" s="82">
        <v>2000000</v>
      </c>
    </row>
    <row r="81" spans="1:21">
      <c r="A81" s="97" t="s">
        <v>5113</v>
      </c>
      <c r="B81" s="93">
        <v>3940000</v>
      </c>
      <c r="C81" s="93">
        <v>4020000</v>
      </c>
      <c r="D81" s="93">
        <v>11300</v>
      </c>
      <c r="E81" s="93">
        <v>11450</v>
      </c>
      <c r="I81" s="206"/>
      <c r="J81" s="111">
        <f t="shared" si="1"/>
        <v>6117877</v>
      </c>
      <c r="K81" s="206" t="s">
        <v>4728</v>
      </c>
      <c r="L81" s="82">
        <v>647539370</v>
      </c>
      <c r="M81" s="82">
        <v>254691103</v>
      </c>
      <c r="N81" s="211">
        <f t="shared" si="2"/>
        <v>902230473</v>
      </c>
      <c r="O81" s="111">
        <f t="shared" si="3"/>
        <v>3826270</v>
      </c>
      <c r="P81" s="111">
        <f t="shared" si="4"/>
        <v>9944147</v>
      </c>
      <c r="Q81" s="82">
        <v>0</v>
      </c>
    </row>
    <row r="82" spans="1:21">
      <c r="A82" s="97" t="s">
        <v>5116</v>
      </c>
      <c r="B82" s="93">
        <v>3970000</v>
      </c>
      <c r="C82" s="93">
        <v>4030000</v>
      </c>
      <c r="D82" s="93">
        <v>11300</v>
      </c>
      <c r="E82" s="93">
        <v>11500</v>
      </c>
      <c r="I82" s="220" t="s">
        <v>4737</v>
      </c>
      <c r="J82" s="84">
        <f t="shared" si="1"/>
        <v>8860702</v>
      </c>
      <c r="K82" s="189" t="s">
        <v>4734</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4746</v>
      </c>
      <c r="J83" s="84">
        <f>L83-L82+31412200</f>
        <v>20439704</v>
      </c>
      <c r="K83" s="189" t="s">
        <v>4739</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4747</v>
      </c>
      <c r="J84" s="186">
        <f t="shared" si="1"/>
        <v>21224293</v>
      </c>
      <c r="K84" s="187" t="s">
        <v>4748</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4753</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4764</v>
      </c>
      <c r="J87" s="193">
        <f>L87-L86-20000</f>
        <v>7878257</v>
      </c>
      <c r="K87" s="188" t="s">
        <v>4754</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4766</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4767</v>
      </c>
      <c r="L89" s="82">
        <v>680635139</v>
      </c>
      <c r="M89" s="82">
        <v>313005875</v>
      </c>
      <c r="N89" s="111">
        <f t="shared" si="2"/>
        <v>993641014</v>
      </c>
      <c r="O89" s="111">
        <f>M89-M88</f>
        <v>1182704</v>
      </c>
      <c r="P89" s="111">
        <f>N89-N88</f>
        <v>-10992387</v>
      </c>
      <c r="Q89" s="82">
        <v>0</v>
      </c>
    </row>
    <row r="90" spans="1:21">
      <c r="A90" s="97"/>
      <c r="B90" s="93"/>
      <c r="C90" s="93"/>
      <c r="D90" s="93"/>
      <c r="E90" s="93"/>
      <c r="I90" s="188" t="s">
        <v>4791</v>
      </c>
      <c r="J90" s="193">
        <f>L90-L89-1000000</f>
        <v>3840350</v>
      </c>
      <c r="K90" s="188" t="s">
        <v>4774</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4775</v>
      </c>
      <c r="L91" s="82">
        <v>673347624</v>
      </c>
      <c r="M91" s="82">
        <v>308820785</v>
      </c>
      <c r="N91" s="111">
        <f t="shared" si="2"/>
        <v>982168409</v>
      </c>
      <c r="O91" s="111">
        <f>M91-M90</f>
        <v>-3210175</v>
      </c>
      <c r="P91" s="111">
        <f>N91-N90</f>
        <v>-15338040</v>
      </c>
      <c r="Q91" s="82">
        <v>0</v>
      </c>
    </row>
    <row r="92" spans="1:21">
      <c r="I92" s="206"/>
      <c r="J92" s="111">
        <f t="shared" si="5"/>
        <v>11765514</v>
      </c>
      <c r="K92" s="206" t="s">
        <v>4782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4783</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4784</v>
      </c>
      <c r="L94" s="82">
        <v>698450869</v>
      </c>
      <c r="M94" s="82">
        <v>316326929</v>
      </c>
      <c r="N94" s="211">
        <f t="shared" si="6"/>
        <v>1014777798</v>
      </c>
      <c r="O94" s="111">
        <f t="shared" si="7"/>
        <v>3826929</v>
      </c>
      <c r="P94" s="111">
        <f t="shared" si="8"/>
        <v>14277798</v>
      </c>
      <c r="Q94" s="82">
        <v>0</v>
      </c>
    </row>
    <row r="95" spans="1:21">
      <c r="I95" s="188" t="s">
        <v>4790</v>
      </c>
      <c r="J95" s="193">
        <f>L95-L94-2520000</f>
        <v>-274657</v>
      </c>
      <c r="K95" s="188" t="s">
        <v>4787</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4792</v>
      </c>
      <c r="L96" s="82">
        <v>704655817</v>
      </c>
      <c r="M96" s="82">
        <v>315439070</v>
      </c>
      <c r="N96" s="211">
        <f t="shared" si="6"/>
        <v>1020094887</v>
      </c>
      <c r="O96" s="111">
        <f t="shared" si="7"/>
        <v>1161552</v>
      </c>
      <c r="P96" s="111">
        <f t="shared" si="8"/>
        <v>5121157</v>
      </c>
      <c r="Q96" s="82">
        <v>0</v>
      </c>
    </row>
    <row r="97" spans="3:20">
      <c r="I97" s="206"/>
      <c r="J97" s="111">
        <f t="shared" si="5"/>
        <v>4588822</v>
      </c>
      <c r="K97" s="206" t="s">
        <v>4793</v>
      </c>
      <c r="L97" s="82">
        <v>709244639</v>
      </c>
      <c r="M97" s="82">
        <v>318439707</v>
      </c>
      <c r="N97" s="211">
        <f t="shared" si="6"/>
        <v>1027684346</v>
      </c>
      <c r="O97" s="111">
        <f t="shared" si="7"/>
        <v>3000637</v>
      </c>
      <c r="P97" s="111">
        <f t="shared" si="8"/>
        <v>7589459</v>
      </c>
      <c r="Q97" s="82">
        <v>0</v>
      </c>
    </row>
    <row r="98" spans="3:20">
      <c r="I98" s="206"/>
      <c r="J98" s="111">
        <f t="shared" si="5"/>
        <v>-11230604</v>
      </c>
      <c r="K98" s="206" t="s">
        <v>4795</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4796</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4798</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4799</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4802</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4801</v>
      </c>
      <c r="L103" s="82">
        <v>716288384</v>
      </c>
      <c r="M103" s="82">
        <v>320388494</v>
      </c>
      <c r="N103" s="111">
        <f t="shared" si="9"/>
        <v>1036676878</v>
      </c>
      <c r="O103" s="111">
        <f t="shared" si="10"/>
        <v>1388494</v>
      </c>
      <c r="P103" s="111">
        <f t="shared" si="11"/>
        <v>1676878</v>
      </c>
      <c r="Q103" s="82">
        <v>0</v>
      </c>
    </row>
    <row r="104" spans="3:20">
      <c r="I104" s="188" t="s">
        <v>4837</v>
      </c>
      <c r="J104" s="193">
        <f>L104-L103-1400000</f>
        <v>-1688384</v>
      </c>
      <c r="K104" s="188" t="s">
        <v>4835</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4836</v>
      </c>
      <c r="L105" s="82">
        <v>724529471</v>
      </c>
      <c r="M105" s="82">
        <v>326836192</v>
      </c>
      <c r="N105" s="211">
        <f t="shared" si="9"/>
        <v>1051365663</v>
      </c>
      <c r="O105" s="111">
        <f t="shared" si="10"/>
        <v>4836192</v>
      </c>
      <c r="P105" s="111">
        <f t="shared" si="11"/>
        <v>13365663</v>
      </c>
      <c r="Q105" s="82">
        <v>0</v>
      </c>
    </row>
    <row r="106" spans="3:20">
      <c r="I106" s="187" t="s">
        <v>4839</v>
      </c>
      <c r="J106" s="186">
        <f>L106-L105-1550000</f>
        <v>16319322</v>
      </c>
      <c r="K106" s="187" t="s">
        <v>4838</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4840</v>
      </c>
      <c r="L107" s="82">
        <v>749984625</v>
      </c>
      <c r="M107" s="82">
        <v>336802679</v>
      </c>
      <c r="N107" s="211">
        <f t="shared" si="9"/>
        <v>1086787304</v>
      </c>
      <c r="O107" s="111">
        <f t="shared" si="10"/>
        <v>3414475</v>
      </c>
      <c r="P107" s="111">
        <f t="shared" si="11"/>
        <v>11000307</v>
      </c>
      <c r="Q107" s="82">
        <v>0</v>
      </c>
    </row>
    <row r="108" spans="3:20">
      <c r="I108" s="187" t="s">
        <v>4843</v>
      </c>
      <c r="J108" s="186">
        <f>L108-L107-250000</f>
        <v>9825827</v>
      </c>
      <c r="K108" s="187" t="s">
        <v>4794</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4844</v>
      </c>
      <c r="L109" s="82">
        <v>764265377</v>
      </c>
      <c r="M109" s="82">
        <v>346850621</v>
      </c>
      <c r="N109" s="211">
        <f t="shared" si="9"/>
        <v>1111115998</v>
      </c>
      <c r="O109" s="111">
        <f t="shared" si="10"/>
        <v>4016059</v>
      </c>
      <c r="P109" s="111">
        <f t="shared" si="11"/>
        <v>8220984</v>
      </c>
      <c r="Q109" s="82">
        <v>0</v>
      </c>
    </row>
    <row r="110" spans="3:20" ht="30">
      <c r="I110" s="227" t="s">
        <v>4850</v>
      </c>
      <c r="J110" s="228">
        <f>L110-L109+48527480</f>
        <v>-4646184</v>
      </c>
      <c r="K110" s="209" t="s">
        <v>4847</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4852</v>
      </c>
      <c r="L111" s="82">
        <v>723218149</v>
      </c>
      <c r="M111" s="82">
        <v>378192152</v>
      </c>
      <c r="N111" s="111">
        <f t="shared" ref="N111:N122" si="12">L111+M111</f>
        <v>1101410301</v>
      </c>
      <c r="O111" s="111">
        <f t="shared" ref="O111:O144" si="13">M111-M110</f>
        <v>12390034</v>
      </c>
      <c r="P111" s="111">
        <f>N111-N110</f>
        <v>24516470</v>
      </c>
      <c r="Q111" s="82">
        <v>0</v>
      </c>
    </row>
    <row r="112" spans="3:20">
      <c r="I112" s="187" t="s">
        <v>4857</v>
      </c>
      <c r="J112" s="186">
        <f t="shared" si="5"/>
        <v>-11559770</v>
      </c>
      <c r="K112" s="187" t="s">
        <v>4853</v>
      </c>
      <c r="L112" s="221">
        <v>711658379</v>
      </c>
      <c r="M112" s="221">
        <v>375825031</v>
      </c>
      <c r="N112" s="186">
        <f t="shared" si="12"/>
        <v>1087483410</v>
      </c>
      <c r="O112" s="186">
        <f>M112-M111-400000</f>
        <v>-2767121</v>
      </c>
      <c r="P112" s="186">
        <f>N112-N111-400000</f>
        <v>-14326891</v>
      </c>
      <c r="Q112" s="82">
        <v>400000</v>
      </c>
      <c r="T112" t="s">
        <v>25</v>
      </c>
    </row>
    <row r="113" spans="9:19">
      <c r="I113" s="206" t="s">
        <v>4859</v>
      </c>
      <c r="J113" s="111">
        <f t="shared" si="5"/>
        <v>-47970668</v>
      </c>
      <c r="K113" s="206" t="s">
        <v>4858</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4860</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4861</v>
      </c>
      <c r="L115" s="82">
        <v>673546379</v>
      </c>
      <c r="M115" s="82">
        <v>385390359</v>
      </c>
      <c r="N115" s="111">
        <f t="shared" si="12"/>
        <v>1058936738</v>
      </c>
      <c r="O115" s="111">
        <f t="shared" si="13"/>
        <v>4912397</v>
      </c>
      <c r="P115" s="111">
        <f>N115-N114</f>
        <v>5263899</v>
      </c>
      <c r="Q115" s="82">
        <v>0</v>
      </c>
    </row>
    <row r="116" spans="9:19">
      <c r="I116" s="187" t="s">
        <v>4864</v>
      </c>
      <c r="J116" s="186">
        <f t="shared" si="5"/>
        <v>-3653734</v>
      </c>
      <c r="K116" s="187" t="s">
        <v>4862</v>
      </c>
      <c r="L116" s="221">
        <v>669892645</v>
      </c>
      <c r="M116" s="221">
        <v>383350206</v>
      </c>
      <c r="N116" s="186">
        <f>L116+M116</f>
        <v>1053242851</v>
      </c>
      <c r="O116" s="186">
        <f>M116-M115-2000000</f>
        <v>-4040153</v>
      </c>
      <c r="P116" s="186">
        <f>N116-N115-2000000</f>
        <v>-7693887</v>
      </c>
      <c r="Q116" s="82">
        <v>2000000</v>
      </c>
    </row>
    <row r="117" spans="9:19">
      <c r="I117" s="187" t="s">
        <v>4866</v>
      </c>
      <c r="J117" s="186">
        <f t="shared" si="5"/>
        <v>-492645</v>
      </c>
      <c r="K117" s="187" t="s">
        <v>4865</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4867</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4868</v>
      </c>
      <c r="L119" s="82">
        <v>685000000</v>
      </c>
      <c r="M119" s="82">
        <v>395000000</v>
      </c>
      <c r="N119" s="111">
        <f t="shared" si="12"/>
        <v>1080000000</v>
      </c>
      <c r="O119" s="111">
        <f t="shared" si="13"/>
        <v>2295548</v>
      </c>
      <c r="P119" s="111">
        <f>N119-N118</f>
        <v>10130487</v>
      </c>
      <c r="Q119" s="82">
        <v>0</v>
      </c>
    </row>
    <row r="120" spans="9:19">
      <c r="I120" s="187" t="s">
        <v>4870</v>
      </c>
      <c r="J120" s="186">
        <f>L120-L119-2100000</f>
        <v>2603523</v>
      </c>
      <c r="K120" s="187" t="s">
        <v>4869</v>
      </c>
      <c r="L120" s="221">
        <v>689703523</v>
      </c>
      <c r="M120" s="221">
        <v>399879880</v>
      </c>
      <c r="N120" s="186">
        <f t="shared" si="12"/>
        <v>1089583403</v>
      </c>
      <c r="O120" s="186">
        <f t="shared" si="13"/>
        <v>4879880</v>
      </c>
      <c r="P120" s="186">
        <f>N120-N119-2100000</f>
        <v>7483403</v>
      </c>
      <c r="Q120" s="82">
        <v>2100000</v>
      </c>
    </row>
    <row r="121" spans="9:19">
      <c r="I121" s="187" t="s">
        <v>4873</v>
      </c>
      <c r="J121" s="186">
        <f>L121-L120-100000</f>
        <v>1223636</v>
      </c>
      <c r="K121" s="187" t="s">
        <v>4872</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4875</v>
      </c>
      <c r="L122" s="82">
        <v>687768941</v>
      </c>
      <c r="M122" s="82">
        <v>400952125</v>
      </c>
      <c r="N122" s="111">
        <f t="shared" si="12"/>
        <v>1088721066</v>
      </c>
      <c r="O122" s="111">
        <f t="shared" si="13"/>
        <v>-968588</v>
      </c>
      <c r="P122" s="111">
        <f>N122-N121</f>
        <v>-4226806</v>
      </c>
      <c r="Q122" s="217">
        <v>0</v>
      </c>
    </row>
    <row r="123" spans="9:19">
      <c r="I123" s="187" t="s">
        <v>4881</v>
      </c>
      <c r="J123" s="186">
        <f>L123-L122-115000</f>
        <v>-1004989</v>
      </c>
      <c r="K123" s="187" t="s">
        <v>4877</v>
      </c>
      <c r="L123" s="221">
        <v>686878952</v>
      </c>
      <c r="M123" s="221">
        <v>402566982</v>
      </c>
      <c r="N123" s="186">
        <f>L123+M123</f>
        <v>1089445934</v>
      </c>
      <c r="O123" s="186">
        <f>M123-M122-115000</f>
        <v>1499857</v>
      </c>
      <c r="P123" s="186">
        <f>N123-N122-230000</f>
        <v>494868</v>
      </c>
      <c r="Q123" s="217">
        <v>230000</v>
      </c>
    </row>
    <row r="124" spans="9:19">
      <c r="I124" s="187" t="s">
        <v>4884</v>
      </c>
      <c r="J124" s="186">
        <f>L124-L123-900000</f>
        <v>16455514</v>
      </c>
      <c r="K124" s="187" t="s">
        <v>4883</v>
      </c>
      <c r="L124" s="221">
        <v>704234466</v>
      </c>
      <c r="M124" s="221">
        <v>413359717</v>
      </c>
      <c r="N124" s="211">
        <f t="shared" ref="N124:N145" si="14">L124+M124</f>
        <v>1117594183</v>
      </c>
      <c r="O124" s="186">
        <f t="shared" si="13"/>
        <v>10792735</v>
      </c>
      <c r="P124" s="186">
        <f>N124-N123-900000</f>
        <v>27248249</v>
      </c>
      <c r="Q124" s="217">
        <v>900000</v>
      </c>
    </row>
    <row r="125" spans="9:19">
      <c r="I125" s="187" t="s">
        <v>4886</v>
      </c>
      <c r="J125" s="186">
        <f>L125-L124-241774</f>
        <v>7847987</v>
      </c>
      <c r="K125" s="187" t="s">
        <v>4885</v>
      </c>
      <c r="L125" s="221">
        <v>712324227</v>
      </c>
      <c r="M125" s="221">
        <v>416450606</v>
      </c>
      <c r="N125" s="211">
        <f>L125+M125</f>
        <v>1128774833</v>
      </c>
      <c r="O125" s="186">
        <f>M125-M124-50000</f>
        <v>3040889</v>
      </c>
      <c r="P125" s="186">
        <f>N125-N124-291774</f>
        <v>10888876</v>
      </c>
      <c r="Q125" s="217">
        <v>291774</v>
      </c>
    </row>
    <row r="126" spans="9:19">
      <c r="I126" s="187" t="s">
        <v>4894</v>
      </c>
      <c r="J126" s="186">
        <f>L126-L125-5701774</f>
        <v>-18426154</v>
      </c>
      <c r="K126" s="187" t="s">
        <v>4893</v>
      </c>
      <c r="L126" s="221">
        <v>699599847</v>
      </c>
      <c r="M126" s="221">
        <v>407446033</v>
      </c>
      <c r="N126" s="186">
        <f t="shared" si="14"/>
        <v>1107045880</v>
      </c>
      <c r="O126" s="186">
        <f>M126-M125-50000</f>
        <v>-9054573</v>
      </c>
      <c r="P126" s="186">
        <f>N126-N125-5751774</f>
        <v>-27480727</v>
      </c>
      <c r="Q126" s="217">
        <v>5751774</v>
      </c>
    </row>
    <row r="127" spans="9:19">
      <c r="I127" s="230" t="s">
        <v>4899</v>
      </c>
      <c r="J127" s="231">
        <f t="shared" si="5"/>
        <v>9831878</v>
      </c>
      <c r="K127" s="230" t="s">
        <v>4895</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4900</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4901</v>
      </c>
      <c r="L129" s="234">
        <v>716306417</v>
      </c>
      <c r="M129" s="234">
        <v>419768145</v>
      </c>
      <c r="N129" s="211">
        <f>L129+M129</f>
        <v>1136074562</v>
      </c>
      <c r="O129" s="115">
        <f>M129-M128</f>
        <v>2907177</v>
      </c>
      <c r="P129" s="115">
        <f>N129-N128</f>
        <v>6569162</v>
      </c>
      <c r="Q129" s="217">
        <v>0</v>
      </c>
    </row>
    <row r="130" spans="9:30">
      <c r="I130" s="187" t="s">
        <v>4905</v>
      </c>
      <c r="J130" s="186">
        <f t="shared" si="5"/>
        <v>-9284823</v>
      </c>
      <c r="K130" s="187" t="s">
        <v>4903</v>
      </c>
      <c r="L130" s="221">
        <v>707021594</v>
      </c>
      <c r="M130" s="221">
        <v>420305454</v>
      </c>
      <c r="N130" s="186">
        <f t="shared" si="14"/>
        <v>1127327048</v>
      </c>
      <c r="O130" s="186">
        <f>M130-M129-6800000</f>
        <v>-6262691</v>
      </c>
      <c r="P130" s="186">
        <f>N130-N129-6800000</f>
        <v>-15547514</v>
      </c>
      <c r="Q130" s="217">
        <v>6800000</v>
      </c>
      <c r="S130" t="s">
        <v>25</v>
      </c>
    </row>
    <row r="131" spans="9:30">
      <c r="I131" s="187" t="s">
        <v>4909</v>
      </c>
      <c r="J131" s="186">
        <f t="shared" si="5"/>
        <v>2112595</v>
      </c>
      <c r="K131" s="187" t="s">
        <v>4906</v>
      </c>
      <c r="L131" s="221">
        <v>709134189</v>
      </c>
      <c r="M131" s="221">
        <v>421097153</v>
      </c>
      <c r="N131" s="186">
        <f t="shared" si="14"/>
        <v>1130231342</v>
      </c>
      <c r="O131" s="186">
        <f>M131-M130-500000</f>
        <v>291699</v>
      </c>
      <c r="P131" s="186">
        <f>N131-N130-500000</f>
        <v>2404294</v>
      </c>
      <c r="Q131" s="217">
        <v>500000</v>
      </c>
      <c r="S131" t="s">
        <v>25</v>
      </c>
    </row>
    <row r="132" spans="9:30">
      <c r="I132" s="230" t="s">
        <v>4912</v>
      </c>
      <c r="J132" s="231">
        <f t="shared" si="5"/>
        <v>1064287</v>
      </c>
      <c r="K132" s="230" t="s">
        <v>4910</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4915</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4916</v>
      </c>
      <c r="L134" s="82">
        <v>744280570</v>
      </c>
      <c r="M134" s="82">
        <v>440002399</v>
      </c>
      <c r="N134" s="211">
        <f t="shared" si="14"/>
        <v>1184282969</v>
      </c>
      <c r="O134" s="111">
        <f t="shared" si="13"/>
        <v>10396274</v>
      </c>
      <c r="P134" s="111">
        <f>N134-N133</f>
        <v>31854556</v>
      </c>
      <c r="Q134" s="217">
        <v>0</v>
      </c>
    </row>
    <row r="135" spans="9:30">
      <c r="I135" s="187" t="s">
        <v>4930</v>
      </c>
      <c r="J135" s="186">
        <f>L135-L134-1130250</f>
        <v>-410820</v>
      </c>
      <c r="K135" s="187" t="s">
        <v>4918</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4921</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4924</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4926</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4929</v>
      </c>
      <c r="J139" s="186">
        <f>L139-L138-206000</f>
        <v>15013287</v>
      </c>
      <c r="K139" s="187" t="s">
        <v>4928</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4934</v>
      </c>
      <c r="J140" s="231">
        <f>L140-L139-50000</f>
        <v>22852739</v>
      </c>
      <c r="K140" s="230" t="s">
        <v>4933</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4936</v>
      </c>
      <c r="L141" s="82">
        <v>788064769</v>
      </c>
      <c r="M141" s="82">
        <v>470434493</v>
      </c>
      <c r="N141" s="211">
        <f t="shared" si="14"/>
        <v>1258499262</v>
      </c>
      <c r="O141" s="111">
        <f t="shared" si="13"/>
        <v>9638295</v>
      </c>
      <c r="P141" s="111">
        <f>N141-N140</f>
        <v>23253284</v>
      </c>
      <c r="Q141" s="217">
        <v>0</v>
      </c>
    </row>
    <row r="142" spans="9:30">
      <c r="I142" s="187" t="s">
        <v>4939</v>
      </c>
      <c r="J142" s="186">
        <f>L142-L141-105000</f>
        <v>7274368</v>
      </c>
      <c r="K142" s="187" t="s">
        <v>4937</v>
      </c>
      <c r="L142" s="221">
        <v>795444137</v>
      </c>
      <c r="M142" s="221">
        <v>496046411</v>
      </c>
      <c r="N142" s="211">
        <f t="shared" si="14"/>
        <v>1291490548</v>
      </c>
      <c r="O142" s="186">
        <f>M142-M141-20000000</f>
        <v>5611918</v>
      </c>
      <c r="P142" s="186">
        <f>N142-N141-20105000</f>
        <v>12886286</v>
      </c>
      <c r="Q142" s="217">
        <v>20105000</v>
      </c>
    </row>
    <row r="143" spans="9:30">
      <c r="I143" s="243" t="s">
        <v>4945</v>
      </c>
      <c r="J143" s="244">
        <f>L143-L142+21285588</f>
        <v>17942685</v>
      </c>
      <c r="K143" s="243" t="s">
        <v>4941</v>
      </c>
      <c r="L143" s="245">
        <v>792101234</v>
      </c>
      <c r="M143" s="245">
        <v>504721695</v>
      </c>
      <c r="N143" s="211">
        <f t="shared" si="14"/>
        <v>1296822929</v>
      </c>
      <c r="O143" s="244">
        <f t="shared" si="13"/>
        <v>8675284</v>
      </c>
      <c r="P143" s="244">
        <f>N143-N142+21285588</f>
        <v>26617969</v>
      </c>
      <c r="Q143" s="217">
        <v>-21285588</v>
      </c>
    </row>
    <row r="144" spans="9:30">
      <c r="I144" s="243" t="s">
        <v>4946</v>
      </c>
      <c r="J144" s="244">
        <f>L144-L143+5949277</f>
        <v>6616903</v>
      </c>
      <c r="K144" s="243" t="s">
        <v>4942</v>
      </c>
      <c r="L144" s="245">
        <v>792768860</v>
      </c>
      <c r="M144" s="245">
        <v>507955566</v>
      </c>
      <c r="N144" s="211">
        <f t="shared" si="14"/>
        <v>1300724426</v>
      </c>
      <c r="O144" s="244">
        <f t="shared" si="13"/>
        <v>3233871</v>
      </c>
      <c r="P144" s="244">
        <f>N144-N143+5949277</f>
        <v>9850774</v>
      </c>
      <c r="Q144" s="217">
        <v>-5949277</v>
      </c>
    </row>
    <row r="145" spans="9:23" ht="30">
      <c r="I145" s="227" t="s">
        <v>4947</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4949</v>
      </c>
      <c r="J146" s="211">
        <f>L146-L145+15482124</f>
        <v>-6662026</v>
      </c>
      <c r="K146" s="210" t="s">
        <v>4948</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4950</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4951</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4952</v>
      </c>
      <c r="L149" s="82">
        <v>740819252</v>
      </c>
      <c r="M149" s="82">
        <v>470305993</v>
      </c>
      <c r="N149" s="111">
        <f t="shared" si="15"/>
        <v>1211125245</v>
      </c>
      <c r="O149" s="111">
        <f t="shared" si="17"/>
        <v>-1758760</v>
      </c>
      <c r="P149" s="111">
        <f t="shared" si="18"/>
        <v>-3863586</v>
      </c>
      <c r="Q149" s="217">
        <v>0</v>
      </c>
      <c r="V149" t="s">
        <v>25</v>
      </c>
    </row>
    <row r="150" spans="9:23">
      <c r="I150" s="187" t="s">
        <v>4955</v>
      </c>
      <c r="J150" s="186">
        <f t="shared" si="16"/>
        <v>19640187</v>
      </c>
      <c r="K150" s="187" t="s">
        <v>4954</v>
      </c>
      <c r="L150" s="221">
        <v>760459439</v>
      </c>
      <c r="M150" s="221">
        <v>480341526</v>
      </c>
      <c r="N150" s="186">
        <f t="shared" si="15"/>
        <v>1240800965</v>
      </c>
      <c r="O150" s="186">
        <f>M150-M149-2480000</f>
        <v>7555533</v>
      </c>
      <c r="P150" s="186">
        <f>N150-N149-2480000</f>
        <v>27195720</v>
      </c>
      <c r="Q150" s="217">
        <v>2480000</v>
      </c>
    </row>
    <row r="151" spans="9:23">
      <c r="I151" s="206" t="s">
        <v>4958</v>
      </c>
      <c r="J151" s="111">
        <f>L151-L150-10000000</f>
        <v>7047541</v>
      </c>
      <c r="K151" s="206" t="s">
        <v>4957</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4959</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4962</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4963</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4960</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4964</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4965</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4961</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4976</v>
      </c>
      <c r="J160" s="186">
        <f>L160-L159-1000000</f>
        <v>-11757327</v>
      </c>
      <c r="K160" s="187" t="s">
        <v>4975</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4977</v>
      </c>
      <c r="L161" s="82">
        <v>809787758</v>
      </c>
      <c r="M161" s="82">
        <v>508573621</v>
      </c>
      <c r="N161" s="111">
        <f t="shared" si="15"/>
        <v>1318361379</v>
      </c>
      <c r="O161" s="111">
        <f t="shared" si="19"/>
        <v>8266116</v>
      </c>
      <c r="P161" s="111">
        <f t="shared" si="20"/>
        <v>23567917</v>
      </c>
    </row>
    <row r="162" spans="9:18">
      <c r="I162" s="230" t="s">
        <v>4979</v>
      </c>
      <c r="J162" s="231">
        <f>L162-L161-40000</f>
        <v>22492792</v>
      </c>
      <c r="K162" s="230" t="s">
        <v>4978</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4981</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4985</v>
      </c>
      <c r="L164" s="82">
        <v>839851298</v>
      </c>
      <c r="M164" s="82">
        <v>524867809</v>
      </c>
      <c r="N164" s="111">
        <f t="shared" si="15"/>
        <v>1364719107</v>
      </c>
      <c r="O164" s="111">
        <f t="shared" si="19"/>
        <v>-5011363</v>
      </c>
      <c r="P164" s="111">
        <f t="shared" si="20"/>
        <v>-14640971</v>
      </c>
      <c r="Q164" s="217">
        <v>0</v>
      </c>
    </row>
    <row r="165" spans="9:18">
      <c r="I165" s="230" t="s">
        <v>4987</v>
      </c>
      <c r="J165" s="231">
        <f>L165-L164-120000</f>
        <v>-2216696</v>
      </c>
      <c r="K165" s="230" t="s">
        <v>4986</v>
      </c>
      <c r="L165" s="232">
        <v>837754602</v>
      </c>
      <c r="M165" s="232">
        <v>524141818</v>
      </c>
      <c r="N165" s="231">
        <f t="shared" si="15"/>
        <v>1361896420</v>
      </c>
      <c r="O165" s="231">
        <f>M165-M164-200000</f>
        <v>-925991</v>
      </c>
      <c r="P165" s="231">
        <f>N165-N164-320000</f>
        <v>-3142687</v>
      </c>
      <c r="Q165" s="217">
        <v>320000</v>
      </c>
    </row>
    <row r="166" spans="9:18">
      <c r="I166" s="230" t="s">
        <v>4909</v>
      </c>
      <c r="J166" s="231">
        <f t="shared" si="16"/>
        <v>-5830761</v>
      </c>
      <c r="K166" s="230" t="s">
        <v>4990</v>
      </c>
      <c r="L166" s="232">
        <v>831923841</v>
      </c>
      <c r="M166" s="232">
        <v>520741895</v>
      </c>
      <c r="N166" s="231">
        <f t="shared" si="15"/>
        <v>1352665736</v>
      </c>
      <c r="O166" s="231">
        <f>M166-M165-500000</f>
        <v>-3899923</v>
      </c>
      <c r="P166" s="231">
        <f>N166-N165-500000</f>
        <v>-9730684</v>
      </c>
      <c r="Q166" s="217">
        <v>500000</v>
      </c>
    </row>
    <row r="167" spans="9:18">
      <c r="I167" s="230" t="s">
        <v>4909</v>
      </c>
      <c r="J167" s="231">
        <f t="shared" si="16"/>
        <v>-22467551</v>
      </c>
      <c r="K167" s="230" t="s">
        <v>4992</v>
      </c>
      <c r="L167" s="232">
        <v>809456290</v>
      </c>
      <c r="M167" s="232">
        <v>509313372</v>
      </c>
      <c r="N167" s="231">
        <f t="shared" si="15"/>
        <v>1318769662</v>
      </c>
      <c r="O167" s="231">
        <f>M167-M166-500000</f>
        <v>-11928523</v>
      </c>
      <c r="P167" s="231">
        <f>N167-N166-500000</f>
        <v>-34396074</v>
      </c>
      <c r="Q167" s="217">
        <v>500000</v>
      </c>
    </row>
    <row r="168" spans="9:18">
      <c r="I168" s="230" t="s">
        <v>4993</v>
      </c>
      <c r="J168" s="231">
        <f>L168-L167-249000</f>
        <v>-15588738</v>
      </c>
      <c r="K168" s="230" t="s">
        <v>4983</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4994</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4997</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5005</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5006</v>
      </c>
      <c r="L173" s="82">
        <v>802082154</v>
      </c>
      <c r="M173" s="82">
        <v>508611485</v>
      </c>
      <c r="N173" s="111">
        <f t="shared" si="15"/>
        <v>1310693639</v>
      </c>
      <c r="O173" s="111">
        <f t="shared" si="19"/>
        <v>-117320</v>
      </c>
      <c r="P173" s="111">
        <f t="shared" si="20"/>
        <v>-4323075</v>
      </c>
      <c r="Q173" s="217">
        <v>0</v>
      </c>
      <c r="R173" t="s">
        <v>25</v>
      </c>
    </row>
    <row r="174" spans="9:18">
      <c r="I174" s="230" t="s">
        <v>5009</v>
      </c>
      <c r="J174" s="231">
        <f>L174-L173-65000</f>
        <v>5888390</v>
      </c>
      <c r="K174" s="230" t="s">
        <v>5008</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5014</v>
      </c>
      <c r="J176" s="228">
        <f>L176-L175+305807</f>
        <v>8668560</v>
      </c>
      <c r="K176" s="209" t="s">
        <v>5012</v>
      </c>
      <c r="L176" s="229">
        <v>816745622</v>
      </c>
      <c r="M176" s="229">
        <v>516127148</v>
      </c>
      <c r="N176" s="228">
        <f t="shared" si="15"/>
        <v>1332872770</v>
      </c>
      <c r="O176" s="228">
        <f>M176-M175+305807</f>
        <v>3691986</v>
      </c>
      <c r="P176" s="228">
        <f>N176-N175+611614</f>
        <v>12360546</v>
      </c>
      <c r="Q176" s="217">
        <v>-611614</v>
      </c>
    </row>
    <row r="177" spans="9:17">
      <c r="I177" s="150" t="s">
        <v>5015</v>
      </c>
      <c r="J177" s="228">
        <f>L177-L176+63348</f>
        <v>4837676</v>
      </c>
      <c r="K177" s="209" t="s">
        <v>5013</v>
      </c>
      <c r="L177" s="229">
        <v>821519950</v>
      </c>
      <c r="M177" s="229">
        <v>505943649</v>
      </c>
      <c r="N177" s="228">
        <f t="shared" si="15"/>
        <v>1327463599</v>
      </c>
      <c r="O177" s="228">
        <f>M177-M176+13076601</f>
        <v>2893102</v>
      </c>
      <c r="P177" s="228">
        <f>N177-N176+13139949</f>
        <v>7730778</v>
      </c>
      <c r="Q177" s="217">
        <v>-13139949</v>
      </c>
    </row>
    <row r="178" spans="9:17">
      <c r="I178" s="250" t="s">
        <v>5018</v>
      </c>
      <c r="J178" s="251">
        <f>L178-L177-50000</f>
        <v>30757186</v>
      </c>
      <c r="K178" s="250" t="s">
        <v>5017</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4984</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5023</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5026</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5027</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5032</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5033</v>
      </c>
      <c r="L184" s="82">
        <v>904707054</v>
      </c>
      <c r="M184" s="82">
        <v>557394961</v>
      </c>
      <c r="N184" s="111">
        <f t="shared" si="15"/>
        <v>1462102015</v>
      </c>
      <c r="O184" s="111">
        <f t="shared" si="19"/>
        <v>-6711498</v>
      </c>
      <c r="P184" s="111">
        <f t="shared" si="20"/>
        <v>-18369320</v>
      </c>
      <c r="Q184" s="217">
        <v>0</v>
      </c>
    </row>
    <row r="185" spans="9:17">
      <c r="I185" s="187" t="s">
        <v>5036</v>
      </c>
      <c r="J185" s="186">
        <f>L185-L184-200000</f>
        <v>15983884</v>
      </c>
      <c r="K185" s="187" t="s">
        <v>5034</v>
      </c>
      <c r="L185" s="221">
        <v>920890938</v>
      </c>
      <c r="M185" s="221">
        <v>566042468</v>
      </c>
      <c r="N185" s="186">
        <f t="shared" si="15"/>
        <v>1486933406</v>
      </c>
      <c r="O185" s="186">
        <f t="shared" si="19"/>
        <v>8647507</v>
      </c>
      <c r="P185" s="186">
        <f>N185-N184-200000</f>
        <v>24631391</v>
      </c>
      <c r="Q185" s="217">
        <v>200000</v>
      </c>
    </row>
    <row r="186" spans="9:17">
      <c r="I186" s="187" t="s">
        <v>5043</v>
      </c>
      <c r="J186" s="186">
        <f>L186-L185-30000</f>
        <v>1392982</v>
      </c>
      <c r="K186" s="187" t="s">
        <v>5037</v>
      </c>
      <c r="L186" s="221">
        <v>922313920</v>
      </c>
      <c r="M186" s="221">
        <v>567221668</v>
      </c>
      <c r="N186" s="186">
        <f t="shared" si="15"/>
        <v>1489535588</v>
      </c>
      <c r="O186" s="186">
        <f t="shared" si="19"/>
        <v>1179200</v>
      </c>
      <c r="P186" s="186">
        <f>N186-N185-30000</f>
        <v>2572182</v>
      </c>
      <c r="Q186" s="217">
        <v>30000</v>
      </c>
    </row>
    <row r="187" spans="9:17">
      <c r="I187" s="206" t="s">
        <v>5048</v>
      </c>
      <c r="J187" s="111">
        <f t="shared" si="16"/>
        <v>-1865454</v>
      </c>
      <c r="K187" s="206" t="s">
        <v>5047</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5049</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4996</v>
      </c>
      <c r="L189" s="82">
        <v>951067529</v>
      </c>
      <c r="M189" s="82">
        <v>596275041</v>
      </c>
      <c r="N189" s="211">
        <f t="shared" si="15"/>
        <v>1547342570</v>
      </c>
      <c r="O189" s="111">
        <f t="shared" si="19"/>
        <v>8603623</v>
      </c>
      <c r="P189" s="111">
        <f t="shared" si="20"/>
        <v>26700407</v>
      </c>
      <c r="Q189" s="217">
        <v>0</v>
      </c>
    </row>
    <row r="190" spans="9:17" ht="30">
      <c r="I190" s="249" t="s">
        <v>5054</v>
      </c>
      <c r="J190" s="186">
        <f>L190-L189+4000000</f>
        <v>-1393565</v>
      </c>
      <c r="K190" s="187" t="s">
        <v>5053</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5055</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5056</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5058</v>
      </c>
      <c r="L194" s="234">
        <v>901275329</v>
      </c>
      <c r="M194" s="234">
        <v>583098793</v>
      </c>
      <c r="N194" s="115">
        <f>L194+M194</f>
        <v>1484374122</v>
      </c>
      <c r="O194" s="115">
        <f t="shared" si="19"/>
        <v>-3486217</v>
      </c>
      <c r="P194" s="115">
        <f>N194-N193</f>
        <v>-18861608</v>
      </c>
      <c r="Q194" s="217">
        <v>0</v>
      </c>
    </row>
    <row r="195" spans="9:17">
      <c r="I195" s="187" t="s">
        <v>5063</v>
      </c>
      <c r="J195" s="186">
        <f>L195-L194-150000</f>
        <v>17593478</v>
      </c>
      <c r="K195" s="187" t="s">
        <v>5061</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5064</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5065</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5068</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5093</v>
      </c>
      <c r="L199" s="82">
        <v>992076311</v>
      </c>
      <c r="M199" s="82">
        <v>638214788</v>
      </c>
      <c r="N199" s="211">
        <f t="shared" si="15"/>
        <v>1630291099</v>
      </c>
      <c r="O199" s="111">
        <f t="shared" si="19"/>
        <v>470124</v>
      </c>
      <c r="P199" s="111">
        <f t="shared" si="20"/>
        <v>12547575</v>
      </c>
      <c r="Q199" s="217">
        <v>0</v>
      </c>
    </row>
    <row r="200" spans="9:17">
      <c r="I200" s="187" t="s">
        <v>5096</v>
      </c>
      <c r="J200" s="186">
        <f>L200-L199-400000</f>
        <v>-7612896</v>
      </c>
      <c r="K200" s="187" t="s">
        <v>5094</v>
      </c>
      <c r="L200" s="221">
        <v>984863415</v>
      </c>
      <c r="M200" s="221">
        <v>632226484</v>
      </c>
      <c r="N200" s="186">
        <f t="shared" si="15"/>
        <v>1617089899</v>
      </c>
      <c r="O200" s="186">
        <f t="shared" si="19"/>
        <v>-5988304</v>
      </c>
      <c r="P200" s="186">
        <f>N200-N199-400000</f>
        <v>-13601200</v>
      </c>
      <c r="Q200" s="217">
        <v>400000</v>
      </c>
    </row>
    <row r="201" spans="9:17">
      <c r="I201" s="209" t="s">
        <v>5099</v>
      </c>
      <c r="J201" s="228">
        <f>L201-L200+100000</f>
        <v>12509920</v>
      </c>
      <c r="K201" s="209" t="s">
        <v>5097</v>
      </c>
      <c r="L201" s="229">
        <v>997273335</v>
      </c>
      <c r="M201" s="229">
        <v>639479822</v>
      </c>
      <c r="N201" s="211">
        <f t="shared" si="15"/>
        <v>1636753157</v>
      </c>
      <c r="O201" s="228">
        <f t="shared" si="19"/>
        <v>7253338</v>
      </c>
      <c r="P201" s="228">
        <f>N201-N200+100000</f>
        <v>19763258</v>
      </c>
      <c r="Q201" s="217">
        <v>-100000</v>
      </c>
    </row>
    <row r="202" spans="9:17">
      <c r="I202" s="187" t="s">
        <v>5102</v>
      </c>
      <c r="J202" s="186">
        <f>L202-L201-10000000</f>
        <v>-2265988</v>
      </c>
      <c r="K202" s="187" t="s">
        <v>5101</v>
      </c>
      <c r="L202" s="221">
        <v>1005007347</v>
      </c>
      <c r="M202" s="221">
        <v>636084938</v>
      </c>
      <c r="N202" s="186">
        <f t="shared" si="15"/>
        <v>1641092285</v>
      </c>
      <c r="O202" s="186">
        <f t="shared" si="19"/>
        <v>-3394884</v>
      </c>
      <c r="P202" s="186">
        <f>N202-N201-10000000</f>
        <v>-5660872</v>
      </c>
      <c r="Q202" s="217">
        <v>10000000</v>
      </c>
    </row>
    <row r="203" spans="9:17">
      <c r="I203" s="209" t="s">
        <v>5107</v>
      </c>
      <c r="J203" s="228">
        <f>L203-L202+400000</f>
        <v>8061336</v>
      </c>
      <c r="K203" s="209" t="s">
        <v>5106</v>
      </c>
      <c r="L203" s="229">
        <v>1012668683</v>
      </c>
      <c r="M203" s="229">
        <v>641491326</v>
      </c>
      <c r="N203" s="211">
        <f t="shared" si="15"/>
        <v>1654160009</v>
      </c>
      <c r="O203" s="228">
        <f t="shared" si="19"/>
        <v>5406388</v>
      </c>
      <c r="P203" s="228">
        <f>N203-N202+400000</f>
        <v>13467724</v>
      </c>
      <c r="Q203" s="217">
        <v>-400000</v>
      </c>
    </row>
    <row r="204" spans="9:17">
      <c r="I204" s="209" t="s">
        <v>5108</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5109</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5112</v>
      </c>
      <c r="L206" s="82">
        <v>991102717</v>
      </c>
      <c r="M206" s="82">
        <v>623731041</v>
      </c>
      <c r="N206" s="111">
        <f t="shared" si="22"/>
        <v>1614833758</v>
      </c>
      <c r="O206" s="111">
        <f>M206-M205</f>
        <v>-2790917</v>
      </c>
      <c r="P206" s="111">
        <f>N206-N205</f>
        <v>-6391417</v>
      </c>
      <c r="Q206" s="217">
        <v>0</v>
      </c>
    </row>
    <row r="207" spans="9:17">
      <c r="I207" s="187" t="s">
        <v>5115</v>
      </c>
      <c r="J207" s="186">
        <f>L207-L206-1300000</f>
        <v>-17889835</v>
      </c>
      <c r="K207" s="187" t="s">
        <v>5113</v>
      </c>
      <c r="L207" s="221">
        <v>974512882</v>
      </c>
      <c r="M207" s="221">
        <v>611227725</v>
      </c>
      <c r="N207" s="186">
        <f t="shared" si="22"/>
        <v>1585740607</v>
      </c>
      <c r="O207" s="186">
        <f>M207-M206-230000</f>
        <v>-12733316</v>
      </c>
      <c r="P207" s="186">
        <f>N207-N206-1530000</f>
        <v>-30623151</v>
      </c>
      <c r="Q207" s="217">
        <v>1530000</v>
      </c>
    </row>
    <row r="208" spans="9:17">
      <c r="I208" s="209" t="s">
        <v>5117</v>
      </c>
      <c r="J208" s="228">
        <f>L208-L207-230000</f>
        <v>26666770</v>
      </c>
      <c r="K208" s="209" t="s">
        <v>5116</v>
      </c>
      <c r="L208" s="229">
        <v>1001409652</v>
      </c>
      <c r="M208" s="229">
        <v>627313031</v>
      </c>
      <c r="N208" s="228">
        <f t="shared" si="22"/>
        <v>1628722683</v>
      </c>
      <c r="O208" s="228">
        <f>M208-M207+880000</f>
        <v>16965306</v>
      </c>
      <c r="P208" s="228">
        <f>N208-N207</f>
        <v>42982076</v>
      </c>
      <c r="Q208" s="217">
        <v>-650000</v>
      </c>
    </row>
    <row r="209" spans="9:19">
      <c r="I209" s="187" t="s">
        <v>5118</v>
      </c>
      <c r="J209" s="186">
        <f>L209-L208-880000</f>
        <v>38363123</v>
      </c>
      <c r="K209" s="187" t="s">
        <v>5119</v>
      </c>
      <c r="L209" s="221">
        <v>1040652775</v>
      </c>
      <c r="M209" s="221">
        <v>653526288</v>
      </c>
      <c r="N209" s="211">
        <f t="shared" si="22"/>
        <v>1694179063</v>
      </c>
      <c r="O209" s="186">
        <f>M209-M208</f>
        <v>26213257</v>
      </c>
      <c r="P209" s="186">
        <f>N209-N208-880000</f>
        <v>64576380</v>
      </c>
      <c r="Q209" s="217">
        <v>880000</v>
      </c>
    </row>
    <row r="210" spans="9:19">
      <c r="I210" s="209" t="s">
        <v>5121</v>
      </c>
      <c r="J210" s="228">
        <f>L210-L209+900000</f>
        <v>20298534</v>
      </c>
      <c r="K210" s="209" t="s">
        <v>5120</v>
      </c>
      <c r="L210" s="229">
        <v>1060051309</v>
      </c>
      <c r="M210" s="229">
        <v>663872836</v>
      </c>
      <c r="N210" s="211">
        <f t="shared" si="22"/>
        <v>1723924145</v>
      </c>
      <c r="O210" s="228">
        <f>M210-M209-200000</f>
        <v>10146548</v>
      </c>
      <c r="P210" s="228">
        <f>N210-N209+700000</f>
        <v>30445082</v>
      </c>
      <c r="Q210" s="217">
        <v>-700000</v>
      </c>
    </row>
    <row r="211" spans="9:19">
      <c r="I211" s="187" t="s">
        <v>5122</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5123</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5124</v>
      </c>
      <c r="J213" s="111">
        <f>L213-L212+800000</f>
        <v>15351721</v>
      </c>
      <c r="K213" s="206" t="s">
        <v>5125</v>
      </c>
      <c r="L213" s="82">
        <v>1017597520</v>
      </c>
      <c r="M213" s="82">
        <v>638870084</v>
      </c>
      <c r="N213" s="111">
        <f t="shared" si="22"/>
        <v>1656467604</v>
      </c>
      <c r="O213" s="111">
        <f>M213-M212+10000000</f>
        <v>14214313</v>
      </c>
      <c r="P213" s="111">
        <f>N213-N212+10800000</f>
        <v>29566034</v>
      </c>
      <c r="Q213" s="217">
        <v>-10800000</v>
      </c>
    </row>
    <row r="214" spans="9:19">
      <c r="I214" s="209" t="s">
        <v>5131</v>
      </c>
      <c r="J214" s="228">
        <f t="shared" si="21"/>
        <v>-18127600</v>
      </c>
      <c r="K214" s="209" t="s">
        <v>5127</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5132</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5134</v>
      </c>
      <c r="J217" s="228">
        <f>L217-L216-50000</f>
        <v>-3947893</v>
      </c>
      <c r="K217" s="209" t="s">
        <v>5133</v>
      </c>
      <c r="L217" s="229">
        <v>1010326365</v>
      </c>
      <c r="M217" s="229">
        <v>632690003</v>
      </c>
      <c r="N217" s="228">
        <f t="shared" si="23"/>
        <v>1643016368</v>
      </c>
      <c r="O217" s="228">
        <f t="shared" si="24"/>
        <v>-2811879</v>
      </c>
      <c r="P217" s="228">
        <f>N217-N216-50000</f>
        <v>-6759772</v>
      </c>
      <c r="Q217" s="217">
        <v>50000</v>
      </c>
    </row>
    <row r="218" spans="9:19">
      <c r="I218" s="209" t="s">
        <v>5136</v>
      </c>
      <c r="J218" s="228">
        <f>L218-L217-400000</f>
        <v>-7352281</v>
      </c>
      <c r="K218" s="209" t="s">
        <v>5138</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5140</v>
      </c>
      <c r="L219" s="82">
        <v>999517682</v>
      </c>
      <c r="M219" s="82">
        <v>627640361</v>
      </c>
      <c r="N219" s="111">
        <f t="shared" si="23"/>
        <v>1627158043</v>
      </c>
      <c r="O219" s="111">
        <f t="shared" si="24"/>
        <v>-1762209</v>
      </c>
      <c r="P219" s="111">
        <f t="shared" si="25"/>
        <v>-5618611</v>
      </c>
      <c r="Q219" s="217">
        <v>0</v>
      </c>
    </row>
    <row r="220" spans="9:19">
      <c r="I220" s="187" t="s">
        <v>5142</v>
      </c>
      <c r="J220" s="186">
        <f t="shared" si="21"/>
        <v>30762624</v>
      </c>
      <c r="K220" s="187" t="s">
        <v>5141</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5111</v>
      </c>
      <c r="L221" s="82">
        <v>1013932649</v>
      </c>
      <c r="M221" s="82">
        <v>635152182</v>
      </c>
      <c r="N221" s="111">
        <f t="shared" si="23"/>
        <v>1649084831</v>
      </c>
      <c r="O221" s="111">
        <f t="shared" si="24"/>
        <v>-10386048</v>
      </c>
      <c r="P221" s="111">
        <f t="shared" si="25"/>
        <v>-26733705</v>
      </c>
      <c r="Q221" s="217">
        <v>0</v>
      </c>
    </row>
    <row r="222" spans="9:19">
      <c r="I222" s="254" t="s">
        <v>5146</v>
      </c>
      <c r="J222" s="255">
        <f>L222-L221+7000000</f>
        <v>4431891</v>
      </c>
      <c r="K222" s="254" t="s">
        <v>5147</v>
      </c>
      <c r="L222" s="256">
        <v>1011364540</v>
      </c>
      <c r="M222" s="256">
        <v>634014280</v>
      </c>
      <c r="N222" s="255">
        <f t="shared" si="23"/>
        <v>1645378820</v>
      </c>
      <c r="O222" s="255">
        <f t="shared" si="24"/>
        <v>-1137902</v>
      </c>
      <c r="P222" s="255">
        <f>N222-N221+7000000</f>
        <v>3293989</v>
      </c>
      <c r="Q222" s="217">
        <v>-7000000</v>
      </c>
    </row>
    <row r="223" spans="9:19">
      <c r="I223" s="209" t="s">
        <v>5149</v>
      </c>
      <c r="J223" s="228">
        <f t="shared" si="21"/>
        <v>-12364540</v>
      </c>
      <c r="K223" s="209" t="s">
        <v>5148</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5150</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5151</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5152</v>
      </c>
      <c r="L226" s="82">
        <v>995000000</v>
      </c>
      <c r="M226" s="82">
        <v>625000000</v>
      </c>
      <c r="N226" s="111">
        <f t="shared" si="23"/>
        <v>1620000000</v>
      </c>
      <c r="O226" s="111">
        <f t="shared" si="24"/>
        <v>-2621912</v>
      </c>
      <c r="P226" s="111">
        <f t="shared" si="25"/>
        <v>-8262288</v>
      </c>
      <c r="Q226" s="217">
        <v>0</v>
      </c>
    </row>
    <row r="227" spans="9:19">
      <c r="I227" s="187" t="s">
        <v>5153</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5155</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5156</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5157</v>
      </c>
      <c r="L230" s="82">
        <v>981346829</v>
      </c>
      <c r="M230" s="82">
        <v>616768631</v>
      </c>
      <c r="N230" s="111">
        <f>L230+M230</f>
        <v>1598115460</v>
      </c>
      <c r="O230" s="111">
        <f t="shared" si="24"/>
        <v>-231369</v>
      </c>
      <c r="P230" s="111">
        <f t="shared" si="25"/>
        <v>-2584540</v>
      </c>
      <c r="Q230" s="217">
        <v>0</v>
      </c>
    </row>
    <row r="231" spans="9:19">
      <c r="I231" s="187" t="s">
        <v>5159</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5158</v>
      </c>
      <c r="L232" s="82">
        <v>982764273</v>
      </c>
      <c r="M232" s="82">
        <v>618232370</v>
      </c>
      <c r="N232" s="111">
        <f t="shared" si="23"/>
        <v>1600996643</v>
      </c>
      <c r="O232" s="111">
        <f t="shared" si="24"/>
        <v>9817180</v>
      </c>
      <c r="P232" s="111">
        <f t="shared" si="25"/>
        <v>27833689</v>
      </c>
      <c r="Q232" s="217">
        <v>0</v>
      </c>
    </row>
    <row r="233" spans="9:19">
      <c r="I233" s="187" t="s">
        <v>5161</v>
      </c>
      <c r="J233" s="186">
        <f>L233-L232+990760</f>
        <v>270597</v>
      </c>
      <c r="K233" s="187" t="s">
        <v>5160</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5162</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5163</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5166</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5167</v>
      </c>
      <c r="L237" s="82">
        <v>973935836</v>
      </c>
      <c r="M237" s="82">
        <v>612781866</v>
      </c>
      <c r="N237" s="111">
        <f t="shared" si="23"/>
        <v>1586717702</v>
      </c>
      <c r="O237" s="111">
        <f t="shared" si="24"/>
        <v>-4703074</v>
      </c>
      <c r="P237" s="111">
        <f t="shared" si="25"/>
        <v>-14274043</v>
      </c>
      <c r="Q237" s="217">
        <v>0</v>
      </c>
    </row>
    <row r="238" spans="9:19">
      <c r="I238" s="209" t="s">
        <v>5169</v>
      </c>
      <c r="J238" s="228">
        <f>L238-L237-101268</f>
        <v>10034013</v>
      </c>
      <c r="K238" s="209" t="s">
        <v>5168</v>
      </c>
      <c r="L238" s="229">
        <v>984071117</v>
      </c>
      <c r="M238" s="229">
        <v>619527192</v>
      </c>
      <c r="N238" s="228">
        <f t="shared" si="23"/>
        <v>1603598309</v>
      </c>
      <c r="O238" s="228">
        <f t="shared" si="24"/>
        <v>6745326</v>
      </c>
      <c r="P238" s="228">
        <f>N238-N237-101268</f>
        <v>16779339</v>
      </c>
      <c r="Q238" s="217">
        <v>101268</v>
      </c>
    </row>
    <row r="239" spans="9:19">
      <c r="I239" s="257" t="s">
        <v>5170</v>
      </c>
      <c r="J239" s="92">
        <f>L239-L238-101000</f>
        <v>-5512506</v>
      </c>
      <c r="K239" s="257" t="s">
        <v>5171</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5172</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5174</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5176</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5177</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5178</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5181</v>
      </c>
      <c r="L246" s="82">
        <v>998587209</v>
      </c>
      <c r="M246" s="82">
        <v>628989460</v>
      </c>
      <c r="N246" s="111">
        <f t="shared" si="27"/>
        <v>1627576669</v>
      </c>
      <c r="O246" s="111">
        <f t="shared" si="28"/>
        <v>-386804</v>
      </c>
      <c r="P246" s="111">
        <f t="shared" si="28"/>
        <v>-378799</v>
      </c>
      <c r="Q246" s="217">
        <v>0</v>
      </c>
    </row>
    <row r="247" spans="9:19">
      <c r="I247" s="187" t="s">
        <v>5183</v>
      </c>
      <c r="J247" s="186">
        <f t="shared" si="26"/>
        <v>57939414</v>
      </c>
      <c r="K247" s="187" t="s">
        <v>5182</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5184</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5185</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5186</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5187</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5188</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5189</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5190</v>
      </c>
      <c r="L255" s="82">
        <v>1154946925</v>
      </c>
      <c r="M255" s="82">
        <v>724493233</v>
      </c>
      <c r="N255" s="211">
        <f t="shared" si="31"/>
        <v>1879440158</v>
      </c>
      <c r="O255" s="111">
        <f t="shared" si="32"/>
        <v>3771085</v>
      </c>
      <c r="P255" s="111">
        <f t="shared" si="33"/>
        <v>9561690</v>
      </c>
      <c r="Q255" s="217">
        <v>0</v>
      </c>
    </row>
    <row r="256" spans="9:19">
      <c r="I256" s="206" t="s">
        <v>5191</v>
      </c>
      <c r="J256" s="111">
        <f t="shared" si="30"/>
        <v>40761008</v>
      </c>
      <c r="K256" s="206" t="s">
        <v>5192</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5194</v>
      </c>
      <c r="L257" s="82">
        <v>1204397532</v>
      </c>
      <c r="M257" s="82">
        <v>768290500</v>
      </c>
      <c r="N257" s="211">
        <f t="shared" si="31"/>
        <v>1972688032</v>
      </c>
      <c r="O257" s="111">
        <f t="shared" si="32"/>
        <v>4065339</v>
      </c>
      <c r="P257" s="111">
        <f t="shared" si="33"/>
        <v>12754938</v>
      </c>
      <c r="Q257" s="217">
        <v>0</v>
      </c>
    </row>
    <row r="258" spans="9:19">
      <c r="I258" s="187" t="s">
        <v>5197</v>
      </c>
      <c r="J258" s="186">
        <f>L258-L257+488602</f>
        <v>5275127</v>
      </c>
      <c r="K258" s="187" t="s">
        <v>5195</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5196</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5199</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5204</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5210</v>
      </c>
      <c r="L262" s="82">
        <v>1153433035</v>
      </c>
      <c r="M262" s="82">
        <v>736240181</v>
      </c>
      <c r="N262" s="111">
        <f t="shared" si="31"/>
        <v>1889673216</v>
      </c>
      <c r="O262" s="111">
        <f t="shared" si="32"/>
        <v>-19759819</v>
      </c>
      <c r="P262" s="111">
        <f t="shared" si="33"/>
        <v>-46326784</v>
      </c>
      <c r="Q262" s="217">
        <v>0</v>
      </c>
    </row>
    <row r="263" spans="9:19">
      <c r="I263" s="209" t="s">
        <v>5212</v>
      </c>
      <c r="J263" s="228">
        <f>L263-L262-360000</f>
        <v>-33793035</v>
      </c>
      <c r="K263" s="209" t="s">
        <v>5211</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5213</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5216</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5217</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5218</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5221</v>
      </c>
      <c r="J268" s="186">
        <f>L268-L267+3600000</f>
        <v>6784521</v>
      </c>
      <c r="K268" s="187" t="s">
        <v>5219</v>
      </c>
      <c r="L268" s="221">
        <v>1227517149</v>
      </c>
      <c r="M268" s="221">
        <v>781946723</v>
      </c>
      <c r="N268" s="211">
        <f>L268+M268</f>
        <v>2009463872</v>
      </c>
      <c r="O268" s="186">
        <f t="shared" si="36"/>
        <v>648802</v>
      </c>
      <c r="P268" s="186">
        <f>N268-N267+3600000</f>
        <v>7433323</v>
      </c>
      <c r="Q268" s="217">
        <v>-3600000</v>
      </c>
    </row>
    <row r="269" spans="9:19">
      <c r="I269" s="209" t="s">
        <v>5223</v>
      </c>
      <c r="J269" s="228">
        <f t="shared" si="34"/>
        <v>8668842</v>
      </c>
      <c r="K269" s="209" t="s">
        <v>5220</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5225</v>
      </c>
      <c r="L270" s="82">
        <v>1295586377</v>
      </c>
      <c r="M270" s="82">
        <v>830602955</v>
      </c>
      <c r="N270" s="211">
        <f t="shared" si="35"/>
        <v>2126189332</v>
      </c>
      <c r="O270" s="111">
        <f t="shared" si="36"/>
        <v>39667491</v>
      </c>
      <c r="P270" s="111">
        <f>N270-N269</f>
        <v>99067877</v>
      </c>
      <c r="Q270" s="217">
        <v>0</v>
      </c>
    </row>
    <row r="271" spans="9:19">
      <c r="I271" s="187" t="s">
        <v>5227</v>
      </c>
      <c r="J271" s="186">
        <f>L271-L270+1000000</f>
        <v>21062163</v>
      </c>
      <c r="K271" s="187" t="s">
        <v>5226</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5229</v>
      </c>
      <c r="L272" s="82">
        <v>1290000000</v>
      </c>
      <c r="M272" s="82">
        <v>830000000</v>
      </c>
      <c r="N272" s="111">
        <f t="shared" si="35"/>
        <v>2120000000</v>
      </c>
      <c r="O272" s="111">
        <f t="shared" si="36"/>
        <v>-7889920</v>
      </c>
      <c r="P272" s="111">
        <f>N272-N271</f>
        <v>-33538460</v>
      </c>
    </row>
    <row r="273" spans="4:23">
      <c r="I273" s="206"/>
      <c r="J273" s="111">
        <f t="shared" si="34"/>
        <v>5173477</v>
      </c>
      <c r="K273" s="206" t="s">
        <v>5232</v>
      </c>
      <c r="L273" s="82">
        <v>1295173477</v>
      </c>
      <c r="M273" s="82">
        <v>832119130</v>
      </c>
      <c r="N273" s="111">
        <f t="shared" si="35"/>
        <v>2127292607</v>
      </c>
      <c r="O273" s="111">
        <f t="shared" si="36"/>
        <v>2119130</v>
      </c>
      <c r="P273" s="111">
        <f>N273-N272</f>
        <v>7292607</v>
      </c>
    </row>
    <row r="274" spans="4:23">
      <c r="D274" t="s">
        <v>25</v>
      </c>
      <c r="I274" s="209" t="s">
        <v>5212</v>
      </c>
      <c r="J274" s="228">
        <f>L274-L273-360000</f>
        <v>-3379409</v>
      </c>
      <c r="K274" s="209" t="s">
        <v>5233</v>
      </c>
      <c r="L274" s="229">
        <v>1292154068</v>
      </c>
      <c r="M274" s="229">
        <v>833033746</v>
      </c>
      <c r="N274" s="228">
        <f t="shared" si="35"/>
        <v>2125187814</v>
      </c>
      <c r="O274" s="228">
        <f t="shared" si="36"/>
        <v>914616</v>
      </c>
      <c r="P274" s="228">
        <f>N274-N273-360000</f>
        <v>-2464793</v>
      </c>
      <c r="Q274" s="217">
        <v>360000</v>
      </c>
    </row>
    <row r="275" spans="4:23">
      <c r="I275" s="209" t="s">
        <v>5237</v>
      </c>
      <c r="J275" s="228">
        <f>L275-L274-2000000</f>
        <v>-22946012</v>
      </c>
      <c r="K275" s="209" t="s">
        <v>5236</v>
      </c>
      <c r="L275" s="229">
        <v>1271208056</v>
      </c>
      <c r="M275" s="229">
        <v>825161254</v>
      </c>
      <c r="N275" s="228">
        <f t="shared" si="35"/>
        <v>2096369310</v>
      </c>
      <c r="O275" s="228">
        <f t="shared" si="36"/>
        <v>-7872492</v>
      </c>
      <c r="P275" s="228">
        <f>N275-N274-2000000</f>
        <v>-30818504</v>
      </c>
      <c r="Q275" s="217">
        <v>2000000</v>
      </c>
    </row>
    <row r="276" spans="4:23">
      <c r="I276" s="209" t="s">
        <v>5239</v>
      </c>
      <c r="J276" s="228">
        <f>L276-L275-15300000</f>
        <v>32802006</v>
      </c>
      <c r="K276" s="209" t="s">
        <v>5238</v>
      </c>
      <c r="L276" s="229">
        <v>1319310062</v>
      </c>
      <c r="M276" s="229">
        <v>846171439</v>
      </c>
      <c r="N276" s="228">
        <f t="shared" si="35"/>
        <v>2165481501</v>
      </c>
      <c r="O276" s="228">
        <f>M276-M275-200000</f>
        <v>20810185</v>
      </c>
      <c r="P276" s="228">
        <f>N276-N275-15500000</f>
        <v>53612191</v>
      </c>
      <c r="Q276" s="217">
        <v>15500000</v>
      </c>
    </row>
    <row r="277" spans="4:23">
      <c r="I277" s="209" t="s">
        <v>5242</v>
      </c>
      <c r="J277" s="228">
        <f>L277-L276-3000000</f>
        <v>12429762</v>
      </c>
      <c r="K277" s="209" t="s">
        <v>5241</v>
      </c>
      <c r="L277" s="229">
        <v>1334739824</v>
      </c>
      <c r="M277" s="229">
        <v>848815156</v>
      </c>
      <c r="N277" s="211">
        <f t="shared" si="35"/>
        <v>2183554980</v>
      </c>
      <c r="O277" s="228">
        <f>M277-M276-50000</f>
        <v>2593717</v>
      </c>
      <c r="P277" s="228">
        <f>N277-N276-3050000</f>
        <v>15023479</v>
      </c>
      <c r="Q277" s="217">
        <v>3050000</v>
      </c>
    </row>
    <row r="278" spans="4:23">
      <c r="I278" s="209" t="s">
        <v>5244</v>
      </c>
      <c r="J278" s="228">
        <f>L278-L277-1680000</f>
        <v>-15903030</v>
      </c>
      <c r="K278" s="209" t="s">
        <v>5243</v>
      </c>
      <c r="L278" s="229">
        <v>1320516794</v>
      </c>
      <c r="M278" s="229">
        <v>834312363</v>
      </c>
      <c r="N278" s="228">
        <f t="shared" si="35"/>
        <v>2154829157</v>
      </c>
      <c r="O278" s="228">
        <f>M278-M277-100000</f>
        <v>-14602793</v>
      </c>
      <c r="P278" s="228">
        <f>N278-N277-1600000</f>
        <v>-30325823</v>
      </c>
      <c r="Q278" s="217">
        <v>1780000</v>
      </c>
      <c r="S278" t="s">
        <v>25</v>
      </c>
    </row>
    <row r="279" spans="4:23">
      <c r="I279" s="209" t="s">
        <v>5246</v>
      </c>
      <c r="J279" s="228">
        <f>L279-L278-30000000</f>
        <v>3387493</v>
      </c>
      <c r="K279" s="209" t="s">
        <v>5245</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5251</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5252</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5255</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5258</v>
      </c>
      <c r="L284" s="82">
        <v>1473439379</v>
      </c>
      <c r="M284" s="82">
        <v>906774030</v>
      </c>
      <c r="N284" s="211">
        <f t="shared" si="38"/>
        <v>2380213409</v>
      </c>
      <c r="O284" s="111">
        <f t="shared" si="39"/>
        <v>14380845</v>
      </c>
      <c r="P284" s="111">
        <f t="shared" si="40"/>
        <v>32061881</v>
      </c>
      <c r="Q284" s="217">
        <v>0</v>
      </c>
    </row>
    <row r="285" spans="4:23">
      <c r="I285" s="187" t="s">
        <v>5261</v>
      </c>
      <c r="J285" s="186">
        <f t="shared" si="37"/>
        <v>4331396</v>
      </c>
      <c r="K285" s="187" t="s">
        <v>5259</v>
      </c>
      <c r="L285" s="221">
        <v>1477770775</v>
      </c>
      <c r="M285" s="221">
        <v>915475851</v>
      </c>
      <c r="N285" s="211">
        <f t="shared" si="38"/>
        <v>2393246626</v>
      </c>
      <c r="O285" s="186">
        <f>M285-M284+550000</f>
        <v>9251821</v>
      </c>
      <c r="P285" s="186">
        <f>N285-N284+550000</f>
        <v>13583217</v>
      </c>
      <c r="Q285" s="217">
        <v>-550000</v>
      </c>
    </row>
    <row r="286" spans="4:23">
      <c r="I286" s="187" t="s">
        <v>5265</v>
      </c>
      <c r="J286" s="186">
        <f t="shared" si="37"/>
        <v>39081054</v>
      </c>
      <c r="K286" s="187" t="s">
        <v>5263</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5264</v>
      </c>
      <c r="L287" s="82">
        <v>1560436105</v>
      </c>
      <c r="M287" s="82">
        <v>940791901</v>
      </c>
      <c r="N287" s="211">
        <f t="shared" si="38"/>
        <v>2501228006</v>
      </c>
      <c r="O287" s="111">
        <f t="shared" si="39"/>
        <v>35665189</v>
      </c>
      <c r="P287" s="111">
        <f t="shared" si="40"/>
        <v>79249465</v>
      </c>
      <c r="Q287" s="217">
        <v>0</v>
      </c>
    </row>
    <row r="288" spans="4:23">
      <c r="I288" s="187" t="s">
        <v>5273</v>
      </c>
      <c r="J288" s="186">
        <f t="shared" si="37"/>
        <v>83455296</v>
      </c>
      <c r="K288" s="187" t="s">
        <v>5272</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5275</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5279</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5284</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5293</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5316</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5315</v>
      </c>
      <c r="L294" s="82">
        <v>1775456973</v>
      </c>
      <c r="M294" s="82">
        <v>1056375788</v>
      </c>
      <c r="N294" s="211">
        <f t="shared" si="38"/>
        <v>2831832761</v>
      </c>
      <c r="O294" s="111">
        <f t="shared" si="39"/>
        <v>11375788</v>
      </c>
      <c r="P294" s="111">
        <f t="shared" si="40"/>
        <v>26832761</v>
      </c>
      <c r="Q294" s="217">
        <v>0</v>
      </c>
    </row>
    <row r="295" spans="9:21">
      <c r="I295" s="206" t="s">
        <v>5321</v>
      </c>
      <c r="J295" s="111">
        <f>L295-L294-3000000</f>
        <v>19422686</v>
      </c>
      <c r="K295" s="206" t="s">
        <v>5319</v>
      </c>
      <c r="L295" s="82">
        <v>1797879659</v>
      </c>
      <c r="M295" s="82">
        <v>1054864328</v>
      </c>
      <c r="N295" s="211">
        <f t="shared" si="38"/>
        <v>2852743987</v>
      </c>
      <c r="O295" s="111">
        <f t="shared" si="39"/>
        <v>-1511460</v>
      </c>
      <c r="P295" s="111">
        <f>N295-N294-3000000</f>
        <v>17911226</v>
      </c>
      <c r="Q295" s="217">
        <v>3000000</v>
      </c>
    </row>
    <row r="296" spans="9:21">
      <c r="I296" s="209" t="s">
        <v>5322</v>
      </c>
      <c r="J296" s="228">
        <f>L296-L295-7000000</f>
        <v>-47124934</v>
      </c>
      <c r="K296" s="209" t="s">
        <v>5320</v>
      </c>
      <c r="L296" s="229">
        <v>1757754725</v>
      </c>
      <c r="M296" s="229">
        <v>1037677810</v>
      </c>
      <c r="N296" s="228">
        <f t="shared" si="38"/>
        <v>2795432535</v>
      </c>
      <c r="O296" s="228">
        <f>M296-M295+4190000</f>
        <v>-12996518</v>
      </c>
      <c r="P296" s="228">
        <f>N296-N295+4190000-7000000</f>
        <v>-60121452</v>
      </c>
      <c r="Q296" s="217">
        <v>2810000</v>
      </c>
    </row>
    <row r="297" spans="9:21">
      <c r="I297" s="209" t="s">
        <v>5330</v>
      </c>
      <c r="J297" s="228">
        <f t="shared" si="37"/>
        <v>-53501669</v>
      </c>
      <c r="K297" s="209" t="s">
        <v>5324</v>
      </c>
      <c r="L297" s="229">
        <v>1704253056</v>
      </c>
      <c r="M297" s="229">
        <v>973497834</v>
      </c>
      <c r="N297" s="228">
        <f t="shared" si="38"/>
        <v>2677750890</v>
      </c>
      <c r="O297" s="228">
        <f>M297-M296+26000000</f>
        <v>-38179976</v>
      </c>
      <c r="P297" s="228">
        <f>N297-N296+26000000</f>
        <v>-91681645</v>
      </c>
      <c r="Q297" s="217">
        <v>-26000000</v>
      </c>
    </row>
    <row r="298" spans="9:21">
      <c r="I298" s="209" t="s">
        <v>5332</v>
      </c>
      <c r="J298" s="228">
        <f>L298-L297-8800000</f>
        <v>26691445</v>
      </c>
      <c r="K298" s="209" t="s">
        <v>5328</v>
      </c>
      <c r="L298" s="229">
        <v>1739744501</v>
      </c>
      <c r="M298" s="229">
        <v>914540569</v>
      </c>
      <c r="N298" s="228">
        <f t="shared" si="38"/>
        <v>2654285070</v>
      </c>
      <c r="O298" s="228">
        <f>M298-M297+81800000</f>
        <v>22842735</v>
      </c>
      <c r="P298" s="228">
        <f>N298-N297+73000000</f>
        <v>49534180</v>
      </c>
      <c r="Q298" s="217">
        <v>-73000000</v>
      </c>
    </row>
    <row r="299" spans="9:21">
      <c r="I299" s="209" t="s">
        <v>5335</v>
      </c>
      <c r="J299" s="228">
        <f t="shared" si="37"/>
        <v>32696702</v>
      </c>
      <c r="K299" s="209" t="s">
        <v>5329</v>
      </c>
      <c r="L299" s="229">
        <v>1772441203</v>
      </c>
      <c r="M299" s="229">
        <v>900025831</v>
      </c>
      <c r="N299" s="228">
        <f t="shared" si="38"/>
        <v>2672467034</v>
      </c>
      <c r="O299" s="228">
        <f>M299-M298+34000000</f>
        <v>19485262</v>
      </c>
      <c r="P299" s="228">
        <f>N299-N298+34000000</f>
        <v>52181964</v>
      </c>
      <c r="Q299" s="217">
        <v>-34000000</v>
      </c>
    </row>
    <row r="300" spans="9:21">
      <c r="I300" s="187" t="s">
        <v>5337</v>
      </c>
      <c r="J300" s="186">
        <f>L300-L299-40000000</f>
        <v>74215198</v>
      </c>
      <c r="K300" s="187" t="s">
        <v>5333</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5149</v>
      </c>
      <c r="J301" s="186">
        <f t="shared" si="37"/>
        <v>39912599</v>
      </c>
      <c r="K301" s="187" t="s">
        <v>5334</v>
      </c>
      <c r="L301" s="221">
        <v>1926569000</v>
      </c>
      <c r="M301" s="221">
        <v>959442000</v>
      </c>
      <c r="N301" s="211">
        <f t="shared" si="38"/>
        <v>2886011000</v>
      </c>
      <c r="O301" s="186">
        <f>M301-M300-300000</f>
        <v>21646377</v>
      </c>
      <c r="P301" s="186">
        <f>N301-N300-300000</f>
        <v>61558976</v>
      </c>
      <c r="Q301" s="217">
        <v>300000</v>
      </c>
    </row>
    <row r="302" spans="9:21">
      <c r="I302" s="187" t="s">
        <v>5343</v>
      </c>
      <c r="J302" s="186">
        <f t="shared" si="37"/>
        <v>-55865388</v>
      </c>
      <c r="K302" s="187" t="s">
        <v>5342</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5345</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5347</v>
      </c>
      <c r="L304" s="82">
        <v>1773000000</v>
      </c>
      <c r="M304" s="82">
        <v>879000000</v>
      </c>
      <c r="N304" s="111">
        <f t="shared" si="38"/>
        <v>2652000000</v>
      </c>
      <c r="O304" s="111">
        <f t="shared" si="39"/>
        <v>217170</v>
      </c>
      <c r="P304" s="111">
        <f t="shared" si="40"/>
        <v>-212651</v>
      </c>
      <c r="Q304" s="217">
        <v>0</v>
      </c>
    </row>
    <row r="305" spans="9:17">
      <c r="I305" s="206" t="s">
        <v>5349</v>
      </c>
      <c r="J305" s="111">
        <f>L305-L304-400000</f>
        <v>-400000</v>
      </c>
      <c r="K305" s="206" t="s">
        <v>5348</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5355</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5368</v>
      </c>
      <c r="L307" s="82">
        <v>1627606378</v>
      </c>
      <c r="M307" s="82">
        <v>802901457</v>
      </c>
      <c r="N307" s="111">
        <f t="shared" si="38"/>
        <v>2430507835</v>
      </c>
      <c r="O307" s="111">
        <f t="shared" si="39"/>
        <v>21798585</v>
      </c>
      <c r="P307" s="111">
        <f t="shared" si="40"/>
        <v>63329771</v>
      </c>
      <c r="Q307" s="217">
        <v>0</v>
      </c>
    </row>
    <row r="308" spans="9:17">
      <c r="I308" s="206" t="s">
        <v>5370</v>
      </c>
      <c r="J308" s="111">
        <f>L308-L307+968000</f>
        <v>30858637</v>
      </c>
      <c r="K308" s="206" t="s">
        <v>5369</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5371</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5372</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5374</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5375</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5376</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5377</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5378</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5379</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5380</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5381</v>
      </c>
      <c r="L318" s="82">
        <v>2260584534</v>
      </c>
      <c r="M318" s="82">
        <v>1120314374</v>
      </c>
      <c r="N318" s="211">
        <f t="shared" si="41"/>
        <v>3380898908</v>
      </c>
      <c r="O318" s="111">
        <f t="shared" si="42"/>
        <v>67266920</v>
      </c>
      <c r="P318" s="111">
        <f t="shared" si="43"/>
        <v>208542979</v>
      </c>
      <c r="Q318" s="217">
        <v>0</v>
      </c>
    </row>
    <row r="319" spans="9:17">
      <c r="I319" s="206" t="s">
        <v>5383</v>
      </c>
      <c r="J319" s="111">
        <f>L319-L318-3006000</f>
        <v>32865631</v>
      </c>
      <c r="K319" s="206" t="s">
        <v>5382</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5387</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5388</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5389</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5390</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5391</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5397</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5398</v>
      </c>
      <c r="L326" s="82">
        <v>2819979138</v>
      </c>
      <c r="M326" s="82">
        <v>1401539279</v>
      </c>
      <c r="N326" s="211">
        <f t="shared" si="41"/>
        <v>4221518417</v>
      </c>
      <c r="O326" s="111">
        <f t="shared" si="42"/>
        <v>13084171</v>
      </c>
      <c r="P326" s="111">
        <f t="shared" si="43"/>
        <v>39080100</v>
      </c>
      <c r="Q326" s="217">
        <v>0</v>
      </c>
    </row>
    <row r="327" spans="9:22">
      <c r="I327" s="206" t="s">
        <v>5401</v>
      </c>
      <c r="J327" s="111">
        <f>L327-L326+130382924</f>
        <v>36685298</v>
      </c>
      <c r="K327" s="206" t="s">
        <v>5400</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5399</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5402</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5403</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5407</v>
      </c>
      <c r="J332" s="186">
        <f>L332-L331-125000000</f>
        <v>154015802</v>
      </c>
      <c r="K332" s="187" t="s">
        <v>5281</v>
      </c>
      <c r="L332" s="221">
        <v>3877711355</v>
      </c>
      <c r="M332" s="221">
        <v>1868422520</v>
      </c>
      <c r="N332" s="211">
        <f t="shared" si="44"/>
        <v>5746133875</v>
      </c>
      <c r="O332" s="186">
        <f t="shared" si="45"/>
        <v>77900986</v>
      </c>
      <c r="P332" s="186">
        <f>N332-N331-125000000</f>
        <v>231916788</v>
      </c>
      <c r="Q332" s="217">
        <v>125000000</v>
      </c>
    </row>
    <row r="333" spans="9:22">
      <c r="I333" s="187" t="s">
        <v>5408</v>
      </c>
      <c r="J333" s="186">
        <f>L333-L332-7200000</f>
        <v>-108573535</v>
      </c>
      <c r="K333" s="187" t="s">
        <v>5404</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5411</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5412</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5413</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5415</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5416</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5418</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5419</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5420</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5421</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5422</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5423</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5427</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5439</v>
      </c>
      <c r="L346" s="82">
        <v>3220000000</v>
      </c>
      <c r="M346" s="82">
        <v>1580000000</v>
      </c>
      <c r="N346" s="111">
        <f t="shared" si="44"/>
        <v>4800000000</v>
      </c>
      <c r="O346" s="111">
        <f t="shared" si="45"/>
        <v>16994429</v>
      </c>
      <c r="P346" s="111">
        <f t="shared" si="46"/>
        <v>32497144</v>
      </c>
      <c r="Q346" s="217">
        <v>0</v>
      </c>
    </row>
    <row r="347" spans="9:19">
      <c r="I347" s="187" t="s">
        <v>5454</v>
      </c>
      <c r="J347" s="186">
        <f>L347-L346-50000000</f>
        <v>30000000</v>
      </c>
      <c r="K347" s="187" t="s">
        <v>5440</v>
      </c>
      <c r="L347" s="221">
        <v>3300000000</v>
      </c>
      <c r="M347" s="221">
        <v>1600000000</v>
      </c>
      <c r="N347" s="186">
        <f t="shared" si="44"/>
        <v>4900000000</v>
      </c>
      <c r="O347" s="186">
        <f t="shared" si="45"/>
        <v>20000000</v>
      </c>
      <c r="P347" s="186">
        <f>N347-N346-50000000</f>
        <v>50000000</v>
      </c>
      <c r="Q347" s="217">
        <v>50000000</v>
      </c>
    </row>
    <row r="348" spans="9:19">
      <c r="I348" s="187" t="s">
        <v>5455</v>
      </c>
      <c r="J348" s="186">
        <f t="shared" si="37"/>
        <v>79324490</v>
      </c>
      <c r="K348" s="187" t="s">
        <v>5441</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5458</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5459</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5460</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5462</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5463</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5464</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5465</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5466</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5467</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5468</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5469</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5470</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5473</v>
      </c>
      <c r="L361" s="82">
        <v>4730000000</v>
      </c>
      <c r="M361" s="82">
        <v>2276000000</v>
      </c>
      <c r="N361" s="272">
        <f t="shared" si="44"/>
        <v>7006000000</v>
      </c>
      <c r="O361" s="111">
        <f t="shared" si="45"/>
        <v>9599335.7503376007</v>
      </c>
      <c r="P361" s="111">
        <f t="shared" si="46"/>
        <v>37003184.750337601</v>
      </c>
      <c r="Q361" s="217">
        <v>0</v>
      </c>
    </row>
    <row r="362" spans="9:21">
      <c r="I362" s="209" t="s">
        <v>5475</v>
      </c>
      <c r="J362" s="228">
        <f>L362-L361+58196600</f>
        <v>79816926</v>
      </c>
      <c r="K362" s="209" t="s">
        <v>5474</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5476</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5478</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5480</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5481</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5484</v>
      </c>
      <c r="L367" s="82">
        <v>5620000000</v>
      </c>
      <c r="M367" s="82">
        <v>2670000000</v>
      </c>
      <c r="N367" s="111">
        <f t="shared" si="44"/>
        <v>8290000000</v>
      </c>
      <c r="O367" s="111">
        <f t="shared" si="47"/>
        <v>-19938073</v>
      </c>
      <c r="P367" s="111">
        <f t="shared" si="48"/>
        <v>-63769642</v>
      </c>
      <c r="S367" t="s">
        <v>25</v>
      </c>
    </row>
    <row r="368" spans="9:21">
      <c r="I368" s="187" t="s">
        <v>5486</v>
      </c>
      <c r="J368" s="186">
        <f t="shared" si="37"/>
        <v>-39749235</v>
      </c>
      <c r="K368" s="187" t="s">
        <v>5485</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5490</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5491</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5492</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5493</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5494</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5495</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5498</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5499</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5511</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5517</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5518</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5524</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5528</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5529</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5533</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5538</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5540</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5541</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5542</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5543</v>
      </c>
      <c r="L389" s="82">
        <v>6126666000</v>
      </c>
      <c r="M389" s="82">
        <v>3341157354</v>
      </c>
      <c r="N389" s="111">
        <f t="shared" si="44"/>
        <v>9467823354</v>
      </c>
      <c r="O389" s="111">
        <f t="shared" si="49"/>
        <v>26757796</v>
      </c>
      <c r="P389" s="111">
        <f t="shared" si="50"/>
        <v>-44095692</v>
      </c>
      <c r="Q389" s="217">
        <v>0</v>
      </c>
    </row>
    <row r="390" spans="9:21">
      <c r="I390" s="257" t="s">
        <v>5549</v>
      </c>
      <c r="J390" s="92">
        <f>L390-L389+98469400</f>
        <v>113425690</v>
      </c>
      <c r="K390" s="257" t="s">
        <v>5532</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5530</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5550</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5551</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5552</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5554</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5555</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5556</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5531</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5559</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5560</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5562</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5563</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5565</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5567</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5570</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5572</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5573</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5574</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5577</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5579</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5582</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5583</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5584</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5587</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5588</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5589</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5594</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5595</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5597</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5599</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5600</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5601</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5613</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5614</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5616</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5620</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5622</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5625</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5629</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5631</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5635</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5637</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5639</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5640</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5642</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5643</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5645</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5647</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5649</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5651</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5652</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5653</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5662</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5664</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5665</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5676</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5675</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5674</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5668</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5671</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5672</v>
      </c>
      <c r="L453" s="82">
        <v>4500000000</v>
      </c>
      <c r="M453" s="82">
        <v>2500000000</v>
      </c>
      <c r="N453" s="111">
        <f t="shared" si="52"/>
        <v>7000000000</v>
      </c>
      <c r="O453" s="111">
        <f t="shared" si="55"/>
        <v>-100000000</v>
      </c>
      <c r="P453" s="111">
        <f t="shared" si="56"/>
        <v>-200000000</v>
      </c>
      <c r="Q453" s="217">
        <v>0</v>
      </c>
    </row>
    <row r="454" spans="9:21">
      <c r="I454" s="187" t="s">
        <v>5678</v>
      </c>
      <c r="J454" s="186">
        <f>L454-L453-260000000</f>
        <v>-241879353</v>
      </c>
      <c r="K454" s="187" t="s">
        <v>5673</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5677</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5679</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5680</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5681</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5682</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5685</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5686</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5687</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5688</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5689</v>
      </c>
      <c r="L464" s="82">
        <v>5684600946</v>
      </c>
      <c r="M464" s="82">
        <v>3223570500</v>
      </c>
      <c r="N464" s="111">
        <f t="shared" si="57"/>
        <v>8908171446</v>
      </c>
      <c r="O464" s="111">
        <f t="shared" si="58"/>
        <v>146480670</v>
      </c>
      <c r="P464" s="111">
        <f t="shared" si="59"/>
        <v>445129043</v>
      </c>
      <c r="Q464" s="217">
        <v>0</v>
      </c>
    </row>
    <row r="465" spans="9:19">
      <c r="I465" s="187" t="s">
        <v>5692</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5695</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5696</v>
      </c>
      <c r="L467" s="82">
        <v>6143888625</v>
      </c>
      <c r="M467" s="82">
        <v>3526728170</v>
      </c>
      <c r="N467" s="111">
        <f t="shared" si="57"/>
        <v>9670616795</v>
      </c>
      <c r="O467" s="111">
        <f t="shared" si="58"/>
        <v>62523077</v>
      </c>
      <c r="P467" s="111">
        <f t="shared" si="59"/>
        <v>145542848</v>
      </c>
      <c r="Q467" s="217">
        <v>0</v>
      </c>
    </row>
    <row r="468" spans="9:19">
      <c r="I468" s="206" t="s">
        <v>5699</v>
      </c>
      <c r="J468" s="111">
        <f>L468-L467-20000</f>
        <v>-31443260</v>
      </c>
      <c r="K468" s="206" t="s">
        <v>5698</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5701</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5702</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5703</v>
      </c>
      <c r="L471" s="82">
        <v>6013616539</v>
      </c>
      <c r="M471" s="82">
        <v>3413915060</v>
      </c>
      <c r="N471" s="111">
        <f t="shared" si="57"/>
        <v>9427531599</v>
      </c>
      <c r="O471" s="111">
        <f t="shared" si="58"/>
        <v>-132100286</v>
      </c>
      <c r="P471" s="111">
        <f t="shared" si="59"/>
        <v>-358771555</v>
      </c>
      <c r="Q471" s="217">
        <v>0</v>
      </c>
      <c r="R471" t="s">
        <v>25</v>
      </c>
    </row>
    <row r="472" spans="9:19">
      <c r="I472" s="206" t="s">
        <v>5705</v>
      </c>
      <c r="J472" s="111">
        <f>L472-L471-70000</f>
        <v>-63686539</v>
      </c>
      <c r="K472" s="206" t="s">
        <v>5704</v>
      </c>
      <c r="L472" s="82">
        <v>5950000000</v>
      </c>
      <c r="M472" s="82">
        <v>3380000000</v>
      </c>
      <c r="N472" s="111">
        <f t="shared" si="57"/>
        <v>9330000000</v>
      </c>
      <c r="O472" s="111">
        <f>M472-M471-70000</f>
        <v>-33985060</v>
      </c>
      <c r="P472" s="111">
        <f>N472-N471-140000</f>
        <v>-97671599</v>
      </c>
      <c r="Q472" s="217">
        <v>140000</v>
      </c>
    </row>
    <row r="473" spans="9:19">
      <c r="I473" s="206" t="s">
        <v>5711</v>
      </c>
      <c r="J473" s="111">
        <f>L473-L472-330000</f>
        <v>-62693116</v>
      </c>
      <c r="K473" s="206" t="s">
        <v>5710</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5713</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5720</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5290</v>
      </c>
      <c r="B1">
        <v>0.24</v>
      </c>
    </row>
    <row r="4" spans="1:21">
      <c r="A4" s="97" t="s">
        <v>3623</v>
      </c>
      <c r="B4" s="97" t="s">
        <v>180</v>
      </c>
      <c r="C4" s="97" t="s">
        <v>5294</v>
      </c>
      <c r="D4" s="97" t="s">
        <v>5295</v>
      </c>
      <c r="E4" s="97" t="s">
        <v>5302</v>
      </c>
      <c r="F4" s="97" t="s">
        <v>5296</v>
      </c>
      <c r="G4" s="97" t="s">
        <v>5297</v>
      </c>
      <c r="H4" s="97" t="s">
        <v>5298</v>
      </c>
      <c r="I4" s="97" t="s">
        <v>5299</v>
      </c>
      <c r="J4" s="97" t="s">
        <v>5300</v>
      </c>
      <c r="K4" s="97" t="s">
        <v>5301</v>
      </c>
      <c r="L4" s="97" t="s">
        <v>5289</v>
      </c>
      <c r="M4" s="97" t="s">
        <v>5291</v>
      </c>
      <c r="N4" s="97" t="s">
        <v>5292</v>
      </c>
      <c r="O4" s="97"/>
    </row>
    <row r="5" spans="1:21">
      <c r="A5" s="97">
        <v>0</v>
      </c>
      <c r="B5" s="97" t="s">
        <v>5288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5303</v>
      </c>
      <c r="C52" s="264" t="s">
        <v>5304</v>
      </c>
      <c r="D52" s="264" t="s">
        <v>5305</v>
      </c>
      <c r="E52" s="264" t="s">
        <v>4245</v>
      </c>
      <c r="F52" s="264" t="s">
        <v>5306</v>
      </c>
      <c r="G52" s="264" t="s">
        <v>5307</v>
      </c>
      <c r="H52" s="264" t="s">
        <v>5308</v>
      </c>
      <c r="I52" s="264" t="s">
        <v>5309</v>
      </c>
      <c r="J52" s="264" t="s">
        <v>5310</v>
      </c>
      <c r="K52" s="264" t="s">
        <v>5311</v>
      </c>
      <c r="L52" s="264" t="s">
        <v>5312</v>
      </c>
      <c r="M52" s="264" t="s">
        <v>5313</v>
      </c>
      <c r="N52" s="264" t="s">
        <v>5314</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5276</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5271</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5262</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4830</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5253</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5285</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5303</v>
      </c>
      <c r="C64" s="264" t="s">
        <v>5304</v>
      </c>
      <c r="D64" s="264" t="s">
        <v>5305</v>
      </c>
      <c r="E64" s="264" t="s">
        <v>4245</v>
      </c>
      <c r="F64" s="264" t="s">
        <v>5306</v>
      </c>
      <c r="G64" s="264" t="s">
        <v>5307</v>
      </c>
      <c r="H64" s="264" t="s">
        <v>5308</v>
      </c>
      <c r="I64" s="264" t="s">
        <v>5309</v>
      </c>
      <c r="J64" s="264" t="s">
        <v>5310</v>
      </c>
      <c r="K64" s="264" t="s">
        <v>5311</v>
      </c>
      <c r="L64" s="264" t="s">
        <v>5312</v>
      </c>
      <c r="M64" s="264" t="s">
        <v>5313</v>
      </c>
      <c r="N64" s="264" t="s">
        <v>5314</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5276</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5262</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5253</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5285</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4669</v>
      </c>
      <c r="B44" s="111">
        <v>-31000</v>
      </c>
      <c r="C44" s="97" t="s">
        <v>4676</v>
      </c>
      <c r="D44" s="97">
        <v>19</v>
      </c>
      <c r="E44" s="97">
        <f t="shared" ref="E44:E50" si="5">E45+D44</f>
        <v>47</v>
      </c>
      <c r="F44" s="97">
        <f t="shared" ref="F44:F50" si="6">IF(B44&gt;0,1,0)</f>
        <v>0</v>
      </c>
      <c r="G44" s="97">
        <f t="shared" ref="G44:G50" si="7">B44*(E44-F44)</f>
        <v>-1457000</v>
      </c>
    </row>
    <row r="45" spans="1:14">
      <c r="A45" s="97" t="s">
        <v>4739</v>
      </c>
      <c r="B45" s="111">
        <v>2060725</v>
      </c>
      <c r="C45" s="97" t="s">
        <v>4742</v>
      </c>
      <c r="D45" s="97">
        <v>6</v>
      </c>
      <c r="E45" s="97">
        <f t="shared" si="5"/>
        <v>28</v>
      </c>
      <c r="F45" s="97">
        <f t="shared" si="6"/>
        <v>1</v>
      </c>
      <c r="G45" s="97">
        <f t="shared" si="7"/>
        <v>55639575</v>
      </c>
    </row>
    <row r="46" spans="1:14">
      <c r="A46" s="97" t="s">
        <v>4762</v>
      </c>
      <c r="B46" s="111">
        <v>-1073169</v>
      </c>
      <c r="C46" s="97" t="s">
        <v>4763</v>
      </c>
      <c r="D46" s="97">
        <v>4</v>
      </c>
      <c r="E46" s="97">
        <f t="shared" si="5"/>
        <v>22</v>
      </c>
      <c r="F46" s="97">
        <f t="shared" si="6"/>
        <v>0</v>
      </c>
      <c r="G46" s="97">
        <f t="shared" si="7"/>
        <v>-23609718</v>
      </c>
    </row>
    <row r="47" spans="1:14">
      <c r="A47" s="97" t="s">
        <v>4754</v>
      </c>
      <c r="B47" s="111">
        <v>-178820</v>
      </c>
      <c r="C47" s="97" t="s">
        <v>3996</v>
      </c>
      <c r="D47" s="97">
        <v>0</v>
      </c>
      <c r="E47" s="97">
        <f t="shared" si="5"/>
        <v>18</v>
      </c>
      <c r="F47" s="97">
        <f t="shared" si="6"/>
        <v>0</v>
      </c>
      <c r="G47" s="97">
        <f t="shared" si="7"/>
        <v>-3218760</v>
      </c>
      <c r="L47" t="s">
        <v>25</v>
      </c>
    </row>
    <row r="48" spans="1:14">
      <c r="A48" s="97" t="s">
        <v>4754</v>
      </c>
      <c r="B48" s="111">
        <v>-25000</v>
      </c>
      <c r="C48" s="97" t="s">
        <v>743</v>
      </c>
      <c r="D48" s="97">
        <v>4</v>
      </c>
      <c r="E48" s="97">
        <f t="shared" si="5"/>
        <v>18</v>
      </c>
      <c r="F48" s="97">
        <f t="shared" si="6"/>
        <v>0</v>
      </c>
      <c r="G48" s="97">
        <f t="shared" si="7"/>
        <v>-450000</v>
      </c>
      <c r="L48" t="s">
        <v>25</v>
      </c>
    </row>
    <row r="49" spans="1:13">
      <c r="A49" s="97" t="s">
        <v>4767</v>
      </c>
      <c r="B49" s="111">
        <v>-49500</v>
      </c>
      <c r="C49" s="97" t="s">
        <v>452</v>
      </c>
      <c r="D49" s="97">
        <v>2</v>
      </c>
      <c r="E49" s="97">
        <f t="shared" si="5"/>
        <v>14</v>
      </c>
      <c r="F49" s="97">
        <f t="shared" si="6"/>
        <v>0</v>
      </c>
      <c r="G49" s="97">
        <f t="shared" si="7"/>
        <v>-693000</v>
      </c>
    </row>
    <row r="50" spans="1:13">
      <c r="A50" s="97" t="s">
        <v>4770</v>
      </c>
      <c r="B50" s="111">
        <v>-4500</v>
      </c>
      <c r="C50" s="97" t="s">
        <v>452</v>
      </c>
      <c r="D50" s="97">
        <v>1</v>
      </c>
      <c r="E50" s="97">
        <f t="shared" si="5"/>
        <v>12</v>
      </c>
      <c r="F50" s="97">
        <f t="shared" si="6"/>
        <v>0</v>
      </c>
      <c r="G50" s="97">
        <f t="shared" si="7"/>
        <v>-54000</v>
      </c>
    </row>
    <row r="51" spans="1:13">
      <c r="A51" s="97" t="s">
        <v>4771</v>
      </c>
      <c r="B51" s="111">
        <v>-328000</v>
      </c>
      <c r="C51" s="97" t="s">
        <v>452</v>
      </c>
      <c r="D51" s="97">
        <v>4</v>
      </c>
      <c r="E51" s="97">
        <f t="shared" ref="E51:E61" si="8">E52+D51</f>
        <v>11</v>
      </c>
      <c r="F51" s="97">
        <f t="shared" ref="F51:F61" si="9">IF(B51&gt;0,1,0)</f>
        <v>0</v>
      </c>
      <c r="G51" s="97">
        <f t="shared" ref="G51:G61" si="10">B51*(E51-F51)</f>
        <v>-3608000</v>
      </c>
    </row>
    <row r="52" spans="1:13">
      <c r="A52" s="97" t="s">
        <v>4775</v>
      </c>
      <c r="B52" s="111">
        <v>-195330</v>
      </c>
      <c r="C52" s="97" t="s">
        <v>4780</v>
      </c>
      <c r="D52" s="97">
        <v>1</v>
      </c>
      <c r="E52" s="97">
        <f t="shared" si="8"/>
        <v>7</v>
      </c>
      <c r="F52" s="97">
        <f t="shared" si="9"/>
        <v>0</v>
      </c>
      <c r="G52" s="97">
        <f t="shared" si="10"/>
        <v>-1367310</v>
      </c>
    </row>
    <row r="53" spans="1:13">
      <c r="A53" s="97" t="s">
        <v>4782</v>
      </c>
      <c r="B53" s="111">
        <v>-140730</v>
      </c>
      <c r="C53" s="97" t="s">
        <v>4785</v>
      </c>
      <c r="D53" s="97">
        <v>1</v>
      </c>
      <c r="E53" s="97">
        <f t="shared" si="8"/>
        <v>6</v>
      </c>
      <c r="F53" s="97">
        <f t="shared" si="9"/>
        <v>0</v>
      </c>
      <c r="G53" s="97">
        <f t="shared" si="10"/>
        <v>-844380</v>
      </c>
    </row>
    <row r="54" spans="1:13">
      <c r="A54" s="97" t="s">
        <v>4783</v>
      </c>
      <c r="B54" s="111">
        <v>-4200</v>
      </c>
      <c r="C54" s="97" t="s">
        <v>1053</v>
      </c>
      <c r="D54" s="97">
        <v>0</v>
      </c>
      <c r="E54" s="97">
        <f t="shared" si="8"/>
        <v>5</v>
      </c>
      <c r="F54" s="97">
        <f t="shared" si="9"/>
        <v>0</v>
      </c>
      <c r="G54" s="97">
        <f t="shared" si="10"/>
        <v>-21000</v>
      </c>
    </row>
    <row r="55" spans="1:13">
      <c r="A55" s="97" t="s">
        <v>4783</v>
      </c>
      <c r="B55" s="111">
        <v>-66567</v>
      </c>
      <c r="C55" s="97" t="s">
        <v>3996</v>
      </c>
      <c r="D55" s="97">
        <v>4</v>
      </c>
      <c r="E55" s="97">
        <f t="shared" si="8"/>
        <v>5</v>
      </c>
      <c r="F55" s="97">
        <f t="shared" si="9"/>
        <v>0</v>
      </c>
      <c r="G55" s="97">
        <f t="shared" si="10"/>
        <v>-332835</v>
      </c>
    </row>
    <row r="56" spans="1:13">
      <c r="A56" s="97" t="s">
        <v>4787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abSelected="1" topLeftCell="A29" workbookViewId="0">
      <selection activeCell="H50" sqref="H5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5522</v>
      </c>
    </row>
    <row r="29" spans="2:21">
      <c r="G29" s="11">
        <f t="shared" ref="G29:G48" si="5">$I$49-I29</f>
        <v>24694</v>
      </c>
      <c r="H29" s="11" t="s">
        <v>5282</v>
      </c>
      <c r="I29" s="11">
        <v>270000</v>
      </c>
      <c r="J29" s="11" t="s">
        <v>560</v>
      </c>
    </row>
    <row r="30" spans="2:21">
      <c r="G30" s="11">
        <f t="shared" si="5"/>
        <v>24694</v>
      </c>
      <c r="H30" s="11" t="s">
        <v>5282</v>
      </c>
      <c r="I30" s="11">
        <v>270000</v>
      </c>
      <c r="J30" s="11" t="s">
        <v>561</v>
      </c>
    </row>
    <row r="31" spans="2:21">
      <c r="G31" s="11">
        <f t="shared" si="5"/>
        <v>10694</v>
      </c>
      <c r="H31" s="11" t="s">
        <v>6450</v>
      </c>
      <c r="I31" s="11">
        <v>284000</v>
      </c>
      <c r="J31" s="11" t="s">
        <v>475</v>
      </c>
    </row>
    <row r="32" spans="2:21">
      <c r="G32" s="11">
        <f t="shared" si="5"/>
        <v>109694</v>
      </c>
      <c r="H32" s="57" t="s">
        <v>778</v>
      </c>
      <c r="I32" s="11">
        <v>185000</v>
      </c>
      <c r="J32" s="11" t="s">
        <v>555</v>
      </c>
    </row>
    <row r="33" spans="6:23">
      <c r="G33" s="11">
        <f t="shared" si="5"/>
        <v>10694</v>
      </c>
      <c r="H33" s="11" t="s">
        <v>6450</v>
      </c>
      <c r="I33" s="11">
        <v>284000</v>
      </c>
      <c r="J33" s="11" t="s">
        <v>562</v>
      </c>
    </row>
    <row r="34" spans="6:23">
      <c r="G34" s="11">
        <f t="shared" si="5"/>
        <v>10694</v>
      </c>
      <c r="H34" s="11" t="s">
        <v>6450</v>
      </c>
      <c r="I34" s="11">
        <v>284000</v>
      </c>
      <c r="J34" s="11" t="s">
        <v>563</v>
      </c>
    </row>
    <row r="35" spans="6:23">
      <c r="G35" s="11">
        <f t="shared" si="5"/>
        <v>10694</v>
      </c>
      <c r="H35" s="11" t="s">
        <v>6450</v>
      </c>
      <c r="I35" s="11">
        <v>284000</v>
      </c>
      <c r="J35" s="11" t="s">
        <v>564</v>
      </c>
    </row>
    <row r="36" spans="6:23">
      <c r="F36" t="s">
        <v>25</v>
      </c>
      <c r="G36" s="11">
        <f t="shared" si="5"/>
        <v>30694</v>
      </c>
      <c r="H36" s="11" t="s">
        <v>5324</v>
      </c>
      <c r="I36" s="11">
        <v>264000</v>
      </c>
      <c r="J36" s="11" t="s">
        <v>635</v>
      </c>
      <c r="O36" s="22"/>
    </row>
    <row r="37" spans="6:23">
      <c r="G37" s="11">
        <f t="shared" si="5"/>
        <v>36694</v>
      </c>
      <c r="H37" s="11" t="s">
        <v>5138</v>
      </c>
      <c r="I37" s="11">
        <v>258000</v>
      </c>
      <c r="J37" s="11" t="s">
        <v>644</v>
      </c>
    </row>
    <row r="38" spans="6:23">
      <c r="G38" s="11">
        <f t="shared" si="5"/>
        <v>70194</v>
      </c>
      <c r="H38" s="11" t="s">
        <v>702</v>
      </c>
      <c r="I38" s="11">
        <v>224500</v>
      </c>
      <c r="J38" s="11" t="s">
        <v>701</v>
      </c>
      <c r="M38" s="25"/>
      <c r="N38" s="25"/>
      <c r="O38" s="25"/>
      <c r="P38" s="25"/>
      <c r="Q38" s="25"/>
      <c r="R38" s="25"/>
      <c r="S38" s="25"/>
      <c r="T38" s="25"/>
      <c r="U38" s="25"/>
      <c r="V38" s="25"/>
      <c r="W38" s="25"/>
    </row>
    <row r="39" spans="6:23">
      <c r="G39" s="11">
        <f t="shared" si="5"/>
        <v>104694</v>
      </c>
      <c r="H39" s="11" t="s">
        <v>736</v>
      </c>
      <c r="I39" s="11">
        <v>190000</v>
      </c>
      <c r="J39" s="11" t="s">
        <v>735</v>
      </c>
      <c r="M39" s="25"/>
      <c r="N39" s="25"/>
      <c r="O39" s="25"/>
      <c r="P39" s="25"/>
      <c r="Q39" s="25"/>
      <c r="R39" s="25"/>
      <c r="S39" s="25"/>
      <c r="T39" s="25"/>
      <c r="U39" s="25"/>
      <c r="V39" s="25"/>
      <c r="W39" s="25"/>
    </row>
    <row r="40" spans="6:23">
      <c r="G40" s="11">
        <f t="shared" si="5"/>
        <v>69694</v>
      </c>
      <c r="H40" s="11" t="s">
        <v>734</v>
      </c>
      <c r="I40" s="11">
        <v>225000</v>
      </c>
      <c r="J40" s="11" t="s">
        <v>733</v>
      </c>
      <c r="M40" s="25"/>
      <c r="N40" s="25"/>
      <c r="O40" s="25"/>
      <c r="P40" s="25"/>
      <c r="Q40" s="25"/>
      <c r="R40" s="25"/>
      <c r="S40" s="25"/>
      <c r="T40" s="25"/>
      <c r="U40" s="25"/>
      <c r="V40" s="25"/>
      <c r="W40" s="25"/>
    </row>
    <row r="41" spans="6:23">
      <c r="G41" s="11">
        <f t="shared" si="5"/>
        <v>63694</v>
      </c>
      <c r="H41" s="11" t="s">
        <v>1085</v>
      </c>
      <c r="I41" s="11">
        <v>231000</v>
      </c>
      <c r="J41" s="11" t="s">
        <v>772</v>
      </c>
      <c r="M41" s="25"/>
      <c r="N41" s="25"/>
      <c r="O41" s="69"/>
      <c r="P41" s="25"/>
      <c r="Q41" s="69"/>
      <c r="R41" s="69"/>
      <c r="S41" s="28"/>
      <c r="T41" s="28"/>
      <c r="U41" s="28"/>
      <c r="V41" s="28"/>
      <c r="W41" s="28"/>
    </row>
    <row r="42" spans="6:23">
      <c r="G42" s="11">
        <f t="shared" si="5"/>
        <v>78694</v>
      </c>
      <c r="H42" s="11" t="s">
        <v>773</v>
      </c>
      <c r="I42" s="11">
        <v>216000</v>
      </c>
      <c r="J42" s="11" t="s">
        <v>774</v>
      </c>
      <c r="M42" s="25"/>
      <c r="N42" s="25"/>
      <c r="O42" s="69"/>
      <c r="P42" s="25"/>
      <c r="Q42" s="69"/>
      <c r="R42" s="69"/>
      <c r="S42" s="28"/>
      <c r="T42" s="28"/>
      <c r="U42" s="25"/>
      <c r="V42" s="28"/>
      <c r="W42" s="28"/>
    </row>
    <row r="43" spans="6:23">
      <c r="G43" s="11">
        <f t="shared" si="5"/>
        <v>67694</v>
      </c>
      <c r="H43" s="11" t="s">
        <v>795</v>
      </c>
      <c r="I43" s="11">
        <v>227000</v>
      </c>
      <c r="J43" s="11" t="s">
        <v>796</v>
      </c>
      <c r="M43" s="25"/>
      <c r="N43" s="25"/>
      <c r="O43" s="25"/>
      <c r="P43" s="25"/>
      <c r="Q43" s="28"/>
      <c r="R43" s="25"/>
      <c r="S43" s="28"/>
      <c r="T43" s="25"/>
      <c r="U43" s="25"/>
      <c r="V43" s="25"/>
      <c r="W43" s="25"/>
    </row>
    <row r="44" spans="6:23">
      <c r="G44" s="11">
        <f t="shared" si="5"/>
        <v>65694</v>
      </c>
      <c r="H44" s="11" t="s">
        <v>858</v>
      </c>
      <c r="I44" s="11">
        <v>229000</v>
      </c>
      <c r="J44" s="11" t="s">
        <v>477</v>
      </c>
      <c r="M44" s="25"/>
      <c r="N44" s="25"/>
      <c r="O44" s="25"/>
      <c r="P44" s="25"/>
      <c r="Q44" s="25"/>
      <c r="R44" s="25"/>
      <c r="S44" s="25"/>
      <c r="T44" s="25"/>
      <c r="U44" s="25"/>
      <c r="V44" s="25"/>
      <c r="W44" s="25"/>
    </row>
    <row r="45" spans="6:23">
      <c r="G45" s="11">
        <f t="shared" si="5"/>
        <v>63694</v>
      </c>
      <c r="H45" s="11" t="s">
        <v>1085</v>
      </c>
      <c r="I45" s="11">
        <v>231000</v>
      </c>
      <c r="J45" s="11" t="s">
        <v>1084</v>
      </c>
      <c r="M45" s="25"/>
      <c r="N45" s="25"/>
      <c r="O45" s="25"/>
      <c r="P45" s="25"/>
      <c r="Q45" s="25"/>
      <c r="R45" s="25"/>
      <c r="S45" s="28"/>
      <c r="T45" s="25"/>
      <c r="U45" s="25"/>
      <c r="V45" s="25"/>
      <c r="W45" s="25"/>
    </row>
    <row r="46" spans="6:23">
      <c r="G46" s="11">
        <f t="shared" si="5"/>
        <v>46494</v>
      </c>
      <c r="H46" s="11" t="s">
        <v>4711</v>
      </c>
      <c r="I46" s="11">
        <v>248200</v>
      </c>
      <c r="J46" s="11" t="s">
        <v>4720</v>
      </c>
      <c r="M46" s="25"/>
      <c r="N46" s="25"/>
      <c r="O46" s="25"/>
      <c r="P46" s="25"/>
      <c r="Q46" s="25"/>
      <c r="R46" s="25"/>
      <c r="S46" s="25"/>
      <c r="T46" s="25"/>
      <c r="U46" s="25"/>
      <c r="V46" s="25"/>
      <c r="W46" s="25"/>
    </row>
    <row r="47" spans="6:23">
      <c r="G47" s="97">
        <f t="shared" si="5"/>
        <v>37694</v>
      </c>
      <c r="H47" s="97" t="s">
        <v>5097</v>
      </c>
      <c r="I47" s="97">
        <v>257000</v>
      </c>
      <c r="J47" s="97" t="s">
        <v>5128</v>
      </c>
      <c r="M47" s="25"/>
      <c r="N47" s="25"/>
      <c r="O47" s="25"/>
      <c r="P47" s="25"/>
      <c r="Q47" s="25"/>
      <c r="R47" s="25"/>
      <c r="S47" s="25"/>
      <c r="T47" s="25"/>
      <c r="U47" s="25"/>
      <c r="V47" s="25"/>
      <c r="W47" s="25"/>
    </row>
    <row r="48" spans="6:23">
      <c r="G48" s="97">
        <f t="shared" si="5"/>
        <v>18834</v>
      </c>
      <c r="H48" s="97" t="s">
        <v>5770</v>
      </c>
      <c r="I48" s="97">
        <v>275860</v>
      </c>
      <c r="J48" s="97" t="s">
        <v>5769</v>
      </c>
      <c r="M48" s="25"/>
      <c r="N48" s="25"/>
      <c r="O48" s="25"/>
      <c r="P48" s="25"/>
      <c r="Q48" s="25"/>
      <c r="R48" s="25"/>
      <c r="S48" s="25"/>
      <c r="T48" s="25"/>
      <c r="U48" s="25"/>
      <c r="V48" s="25"/>
      <c r="W48" s="25"/>
    </row>
    <row r="49" spans="7:23">
      <c r="G49" s="11"/>
      <c r="H49" s="11" t="s">
        <v>7123</v>
      </c>
      <c r="I49" s="11">
        <v>294694</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5523</v>
      </c>
      <c r="M53" s="25"/>
      <c r="N53" s="25"/>
      <c r="O53" s="68"/>
      <c r="P53" s="25"/>
      <c r="Q53" s="69"/>
      <c r="R53" s="25"/>
      <c r="S53" s="69"/>
      <c r="T53" s="25"/>
      <c r="U53" s="25"/>
      <c r="V53" s="25"/>
      <c r="W53" s="25"/>
    </row>
    <row r="54" spans="7:23">
      <c r="G54" s="97">
        <f>$I$73-I54</f>
        <v>17200</v>
      </c>
      <c r="H54" s="97" t="s">
        <v>5282</v>
      </c>
      <c r="I54" s="97">
        <v>38000</v>
      </c>
      <c r="J54" s="97" t="s">
        <v>560</v>
      </c>
      <c r="M54" s="25"/>
      <c r="N54" s="25"/>
      <c r="O54" s="25"/>
      <c r="P54" s="25"/>
      <c r="Q54" s="69"/>
      <c r="R54" s="25"/>
      <c r="S54" s="69"/>
      <c r="T54" s="25"/>
      <c r="U54" s="25"/>
      <c r="V54" s="25"/>
      <c r="W54" s="25"/>
    </row>
    <row r="55" spans="7:23">
      <c r="G55" s="97">
        <f t="shared" ref="G55:G72" si="6">$I$73-I55</f>
        <v>17200</v>
      </c>
      <c r="H55" s="97" t="s">
        <v>5282</v>
      </c>
      <c r="I55" s="97">
        <v>38000</v>
      </c>
      <c r="J55" s="97" t="s">
        <v>561</v>
      </c>
      <c r="M55" s="25"/>
      <c r="N55" s="25"/>
      <c r="O55" s="25"/>
      <c r="P55" s="25"/>
      <c r="Q55" s="69"/>
      <c r="R55" s="25"/>
      <c r="S55" s="69"/>
      <c r="T55" s="25"/>
      <c r="U55" s="28"/>
      <c r="V55" s="25"/>
      <c r="W55" s="25"/>
    </row>
    <row r="56" spans="7:23">
      <c r="G56" s="97">
        <f t="shared" si="6"/>
        <v>3300</v>
      </c>
      <c r="H56" s="97" t="s">
        <v>6628</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5739</v>
      </c>
      <c r="I58" s="97">
        <v>42500</v>
      </c>
      <c r="J58" s="97" t="s">
        <v>562</v>
      </c>
      <c r="M58" s="25"/>
      <c r="N58" s="25"/>
      <c r="O58" s="25"/>
      <c r="P58" s="25"/>
      <c r="Q58" s="69"/>
      <c r="R58" s="25"/>
      <c r="S58" s="69"/>
      <c r="T58" s="25"/>
      <c r="U58" s="25"/>
      <c r="V58" s="25"/>
      <c r="W58" s="25"/>
    </row>
    <row r="59" spans="7:23">
      <c r="G59" s="97">
        <f t="shared" si="6"/>
        <v>12700</v>
      </c>
      <c r="H59" s="97" t="s">
        <v>5739</v>
      </c>
      <c r="I59" s="97">
        <v>42500</v>
      </c>
      <c r="J59" s="97" t="s">
        <v>563</v>
      </c>
      <c r="M59" s="25"/>
      <c r="N59" s="25"/>
      <c r="O59" s="25"/>
      <c r="P59" s="25"/>
      <c r="Q59" s="69"/>
      <c r="R59" s="25"/>
      <c r="S59" s="69"/>
      <c r="T59" s="25"/>
      <c r="U59" s="25"/>
      <c r="V59" s="25"/>
      <c r="W59" s="25"/>
    </row>
    <row r="60" spans="7:23">
      <c r="G60" s="97">
        <f t="shared" si="6"/>
        <v>3300</v>
      </c>
      <c r="H60" s="97" t="s">
        <v>6628</v>
      </c>
      <c r="I60" s="97">
        <v>51900</v>
      </c>
      <c r="J60" s="97" t="s">
        <v>564</v>
      </c>
      <c r="M60" s="25"/>
      <c r="N60" s="25"/>
      <c r="O60" s="25"/>
      <c r="P60" s="25"/>
      <c r="Q60" s="69"/>
      <c r="R60" s="25"/>
      <c r="S60" s="69"/>
      <c r="T60" s="25"/>
      <c r="U60" s="25"/>
      <c r="V60" s="25"/>
      <c r="W60" s="25"/>
    </row>
    <row r="61" spans="7:23">
      <c r="G61" s="97">
        <f t="shared" si="6"/>
        <v>55200</v>
      </c>
      <c r="H61" s="97" t="s">
        <v>5324</v>
      </c>
      <c r="I61" s="97">
        <v>0</v>
      </c>
      <c r="J61" s="97" t="s">
        <v>635</v>
      </c>
      <c r="M61" s="25"/>
      <c r="N61" s="25"/>
      <c r="O61" s="25"/>
      <c r="P61" s="25"/>
      <c r="Q61" s="69"/>
      <c r="R61" s="25"/>
      <c r="S61" s="69"/>
      <c r="T61" s="25"/>
      <c r="U61" s="25"/>
      <c r="V61" s="25"/>
      <c r="W61" s="25"/>
    </row>
    <row r="62" spans="7:23">
      <c r="G62" s="97">
        <f t="shared" si="6"/>
        <v>4700</v>
      </c>
      <c r="H62" s="97" t="s">
        <v>6461</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6461</v>
      </c>
      <c r="I67" s="97">
        <v>50500</v>
      </c>
      <c r="J67" s="97" t="s">
        <v>6568</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5739</v>
      </c>
      <c r="I70" s="97">
        <v>42500</v>
      </c>
      <c r="J70" s="97" t="s">
        <v>1084</v>
      </c>
    </row>
    <row r="71" spans="7:17">
      <c r="G71" s="97">
        <f t="shared" si="6"/>
        <v>55200</v>
      </c>
      <c r="H71" s="97" t="s">
        <v>4711</v>
      </c>
      <c r="I71" s="97">
        <v>0</v>
      </c>
      <c r="J71" s="97" t="s">
        <v>4720</v>
      </c>
    </row>
    <row r="72" spans="7:17">
      <c r="G72" s="97">
        <f t="shared" si="6"/>
        <v>55200</v>
      </c>
      <c r="H72" s="97" t="s">
        <v>5097</v>
      </c>
      <c r="I72" s="97">
        <v>0</v>
      </c>
      <c r="J72" s="97" t="s">
        <v>5128</v>
      </c>
    </row>
    <row r="73" spans="7:17">
      <c r="G73" s="97"/>
      <c r="H73" s="97" t="s">
        <v>7094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G142" zoomScale="85" zoomScaleNormal="85" workbookViewId="0">
      <selection activeCell="Q167" sqref="Q167"/>
    </sheetView>
  </sheetViews>
  <sheetFormatPr defaultRowHeight="15"/>
  <cols>
    <col min="1" max="1" width="17.7109375" customWidth="1"/>
    <col min="2" max="2" width="25.7109375" customWidth="1"/>
    <col min="3" max="3" width="25.140625" style="94" customWidth="1"/>
    <col min="4" max="4" width="22.7109375" style="94" customWidth="1"/>
    <col min="5" max="5" width="20.140625" customWidth="1"/>
    <col min="6" max="6" width="21.140625" customWidth="1"/>
    <col min="7" max="7" width="25.85546875" customWidth="1"/>
    <col min="8" max="8" width="15.7109375" customWidth="1"/>
    <col min="9" max="9" width="18.42578125"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4" t="s">
        <v>4823</v>
      </c>
      <c r="B1" s="354" t="s">
        <v>4824</v>
      </c>
      <c r="C1" s="378" t="s">
        <v>6614</v>
      </c>
      <c r="D1" s="354" t="s">
        <v>6615</v>
      </c>
      <c r="E1" s="378" t="s">
        <v>6616</v>
      </c>
      <c r="F1" s="354" t="s">
        <v>6602</v>
      </c>
      <c r="G1" s="354" t="s">
        <v>6953</v>
      </c>
      <c r="H1" s="354" t="s">
        <v>6617</v>
      </c>
      <c r="I1" s="354" t="s">
        <v>4245</v>
      </c>
      <c r="J1" s="354" t="s">
        <v>4908</v>
      </c>
      <c r="K1" s="353"/>
      <c r="L1" s="353"/>
      <c r="O1" t="s">
        <v>4826</v>
      </c>
      <c r="P1" t="s">
        <v>4828</v>
      </c>
      <c r="Q1" t="s">
        <v>4829</v>
      </c>
    </row>
    <row r="2" spans="1:24">
      <c r="A2" s="354" t="s">
        <v>4825</v>
      </c>
      <c r="B2" s="359">
        <v>1114343604</v>
      </c>
      <c r="C2" s="360">
        <v>2037</v>
      </c>
      <c r="D2" s="360">
        <f>B2*C2/$M$2</f>
        <v>31.526637796500001</v>
      </c>
      <c r="E2" s="360">
        <v>2000</v>
      </c>
      <c r="F2" s="360">
        <f>B2*E2/$M$2</f>
        <v>30.953989</v>
      </c>
      <c r="G2" s="360">
        <v>3000</v>
      </c>
      <c r="H2" s="360">
        <f>B2*G2/$M$2</f>
        <v>46.430983500000004</v>
      </c>
      <c r="I2" s="360">
        <v>20202</v>
      </c>
      <c r="J2" s="360">
        <f>B2*I2/$M$2</f>
        <v>312.66624288899999</v>
      </c>
      <c r="K2" s="353"/>
      <c r="L2" s="353"/>
      <c r="M2">
        <v>72000000000</v>
      </c>
      <c r="N2">
        <v>27416800780</v>
      </c>
      <c r="O2">
        <v>40500000000</v>
      </c>
    </row>
    <row r="3" spans="1:24">
      <c r="A3" s="354" t="s">
        <v>4827</v>
      </c>
      <c r="B3" s="359">
        <v>5320000000</v>
      </c>
      <c r="C3" s="360">
        <v>173</v>
      </c>
      <c r="D3" s="360">
        <f>B3*C3/$M$2</f>
        <v>12.782777777777778</v>
      </c>
      <c r="E3" s="360">
        <v>170</v>
      </c>
      <c r="F3" s="360">
        <f>B3*E3/$M$2</f>
        <v>12.561111111111112</v>
      </c>
      <c r="G3" s="360">
        <v>400</v>
      </c>
      <c r="H3" s="360">
        <f>B3*G3/$M$2</f>
        <v>29.555555555555557</v>
      </c>
      <c r="I3" s="360">
        <v>4401</v>
      </c>
      <c r="J3" s="360">
        <f>B3*I3/$M$2</f>
        <v>325.185</v>
      </c>
      <c r="N3">
        <f>N2/O2</f>
        <v>0.67695804395061732</v>
      </c>
    </row>
    <row r="4" spans="1:24">
      <c r="A4" s="354" t="s">
        <v>6572</v>
      </c>
      <c r="B4" s="359">
        <v>37460000</v>
      </c>
      <c r="C4" s="360">
        <v>100</v>
      </c>
      <c r="D4" s="360">
        <f>B4*C4/$M$2</f>
        <v>5.2027777777777777E-2</v>
      </c>
      <c r="E4" s="360">
        <v>82</v>
      </c>
      <c r="F4" s="360">
        <f>B4*E4/$M$2</f>
        <v>4.2662777777777779E-2</v>
      </c>
      <c r="G4" s="360">
        <v>120</v>
      </c>
      <c r="H4" s="360">
        <f>B4*G4/$M$2</f>
        <v>6.2433333333333334E-2</v>
      </c>
      <c r="I4" s="39">
        <v>662</v>
      </c>
      <c r="J4" s="360">
        <f>B4*I4/$M$2</f>
        <v>0.34442388888888886</v>
      </c>
    </row>
    <row r="5" spans="1:24">
      <c r="A5" s="357"/>
      <c r="B5" s="357"/>
      <c r="C5" s="357"/>
      <c r="D5" s="358">
        <f>B5*C5/$M$2</f>
        <v>0</v>
      </c>
      <c r="E5" s="358"/>
      <c r="F5" s="358"/>
      <c r="G5" s="358"/>
      <c r="H5" s="358">
        <f>B5*G5/$M$2</f>
        <v>0</v>
      </c>
      <c r="I5" s="358"/>
      <c r="J5" s="358"/>
      <c r="M5" s="94"/>
      <c r="N5" s="94"/>
      <c r="O5" s="94"/>
      <c r="P5" s="94"/>
      <c r="Q5" s="94"/>
      <c r="R5" s="94"/>
      <c r="S5" s="94"/>
      <c r="T5" s="94"/>
      <c r="U5" s="94"/>
    </row>
    <row r="6" spans="1:24">
      <c r="A6" s="243" t="s">
        <v>4825</v>
      </c>
      <c r="B6" s="355">
        <v>1124128522</v>
      </c>
      <c r="C6" s="356">
        <f>C2</f>
        <v>2037</v>
      </c>
      <c r="D6" s="356">
        <f t="shared" ref="D6:D14" si="0">B6*C6*$N$3/$M$2</f>
        <v>21.529614459504433</v>
      </c>
      <c r="E6" s="356">
        <f>E2</f>
        <v>2000</v>
      </c>
      <c r="F6" s="356">
        <f t="shared" ref="F6:F14" si="1">B6*E6*$N$3/$M$2</f>
        <v>21.138551261172736</v>
      </c>
      <c r="G6" s="356">
        <f>G2</f>
        <v>3000</v>
      </c>
      <c r="H6" s="356">
        <f t="shared" ref="H6:H14" si="2">B6*G6*$N$3/$M$2</f>
        <v>31.707826891759101</v>
      </c>
      <c r="I6" s="356">
        <f>I2</f>
        <v>20202</v>
      </c>
      <c r="J6" s="356">
        <f t="shared" ref="J6:J14" si="3">B6*I6*$N$3/$M$2</f>
        <v>213.52050628910578</v>
      </c>
      <c r="K6">
        <f>B6*C6/$O$2</f>
        <v>56.539501217629628</v>
      </c>
      <c r="L6" s="367">
        <f>B6*E6/$O$2</f>
        <v>55.512519604938269</v>
      </c>
      <c r="M6" s="94">
        <f>B6*G6/$O$2</f>
        <v>83.268779407407408</v>
      </c>
      <c r="N6" s="94"/>
      <c r="O6" s="94">
        <f t="shared" ref="O6:O14" si="4">B6*I6/$O$2</f>
        <v>560.73196052948151</v>
      </c>
      <c r="P6" s="94"/>
      <c r="Q6" s="94"/>
      <c r="R6" s="94"/>
      <c r="S6" s="94"/>
      <c r="T6" s="94"/>
      <c r="U6" s="94"/>
      <c r="V6" s="94"/>
      <c r="W6" s="94"/>
      <c r="X6" s="94"/>
    </row>
    <row r="7" spans="1:24">
      <c r="A7" s="243" t="s">
        <v>6573</v>
      </c>
      <c r="B7" s="355">
        <v>556303872</v>
      </c>
      <c r="C7" s="356">
        <v>2017</v>
      </c>
      <c r="D7" s="356">
        <f t="shared" si="0"/>
        <v>10.549873146390011</v>
      </c>
      <c r="E7" s="356">
        <v>1413</v>
      </c>
      <c r="F7" s="356">
        <f t="shared" si="1"/>
        <v>7.3906647277387636</v>
      </c>
      <c r="G7" s="356">
        <v>2200</v>
      </c>
      <c r="H7" s="356">
        <f t="shared" si="2"/>
        <v>11.507050531511167</v>
      </c>
      <c r="I7" s="356">
        <v>14349</v>
      </c>
      <c r="J7" s="356">
        <f t="shared" si="3"/>
        <v>75.052121853024431</v>
      </c>
      <c r="K7" s="94">
        <f t="shared" ref="K7:K14" si="5">B7*C7/$O$2</f>
        <v>27.705306415407406</v>
      </c>
      <c r="L7" s="367">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6572</v>
      </c>
      <c r="B8" s="355">
        <v>20487000000</v>
      </c>
      <c r="C8" s="356">
        <v>100</v>
      </c>
      <c r="D8" s="356">
        <f t="shared" si="0"/>
        <v>19.262277008911521</v>
      </c>
      <c r="E8" s="356">
        <v>82</v>
      </c>
      <c r="F8" s="356">
        <f t="shared" si="1"/>
        <v>15.795067147307448</v>
      </c>
      <c r="G8" s="356">
        <f>G4</f>
        <v>120</v>
      </c>
      <c r="H8" s="356">
        <f t="shared" si="2"/>
        <v>23.114732410693826</v>
      </c>
      <c r="I8" s="39">
        <f>I4</f>
        <v>662</v>
      </c>
      <c r="J8" s="356">
        <f t="shared" si="3"/>
        <v>127.51627379899428</v>
      </c>
      <c r="K8" s="94">
        <f t="shared" si="5"/>
        <v>50.585185185185182</v>
      </c>
      <c r="L8" s="367">
        <f t="shared" si="6"/>
        <v>41.479851851851855</v>
      </c>
      <c r="M8" s="94">
        <f t="shared" si="7"/>
        <v>60.702222222222225</v>
      </c>
      <c r="N8" s="94"/>
      <c r="O8" s="94">
        <f t="shared" si="4"/>
        <v>334.8739259259259</v>
      </c>
      <c r="P8" s="94"/>
      <c r="Q8" s="94"/>
      <c r="R8" s="94"/>
      <c r="S8" s="94"/>
      <c r="T8" s="94"/>
      <c r="U8" s="94"/>
      <c r="V8" s="94"/>
      <c r="W8" s="94"/>
      <c r="X8" s="94"/>
    </row>
    <row r="9" spans="1:24">
      <c r="A9" s="243" t="s">
        <v>4830</v>
      </c>
      <c r="B9" s="355">
        <v>4126766661</v>
      </c>
      <c r="C9" s="292">
        <v>2100</v>
      </c>
      <c r="D9" s="292">
        <f t="shared" si="0"/>
        <v>81.481396694576091</v>
      </c>
      <c r="E9" s="292">
        <v>1350</v>
      </c>
      <c r="F9" s="292">
        <f>B9*E9*$N$3/$M$2</f>
        <v>52.380897875084628</v>
      </c>
      <c r="G9" s="356">
        <v>4000</v>
      </c>
      <c r="H9" s="356">
        <f t="shared" si="2"/>
        <v>155.20266037062112</v>
      </c>
      <c r="I9" s="356">
        <v>19552</v>
      </c>
      <c r="J9" s="356">
        <f t="shared" si="3"/>
        <v>758.63060389159602</v>
      </c>
      <c r="K9" s="94">
        <f t="shared" si="5"/>
        <v>213.98049353333334</v>
      </c>
      <c r="L9" s="367">
        <f>B9*E9/$O$2</f>
        <v>137.55888870000001</v>
      </c>
      <c r="M9" s="94">
        <f t="shared" si="7"/>
        <v>407.58189244444446</v>
      </c>
      <c r="N9" s="94"/>
      <c r="O9" s="94">
        <f t="shared" si="4"/>
        <v>1992.2602902684444</v>
      </c>
      <c r="P9" s="94"/>
      <c r="Q9" s="94"/>
      <c r="R9" s="94"/>
      <c r="S9" s="94"/>
      <c r="T9" s="94"/>
      <c r="U9" s="94"/>
      <c r="V9" s="94"/>
    </row>
    <row r="10" spans="1:24">
      <c r="A10" s="243" t="s">
        <v>4831</v>
      </c>
      <c r="B10" s="355">
        <v>2693179034</v>
      </c>
      <c r="C10" s="356">
        <v>608.1</v>
      </c>
      <c r="D10" s="356">
        <f t="shared" si="0"/>
        <v>15.398183293434476</v>
      </c>
      <c r="E10" s="356">
        <v>122</v>
      </c>
      <c r="F10" s="356">
        <f t="shared" si="1"/>
        <v>3.0892589406331288</v>
      </c>
      <c r="G10" s="356">
        <v>900</v>
      </c>
      <c r="H10" s="356">
        <f t="shared" si="2"/>
        <v>22.789615135818163</v>
      </c>
      <c r="I10" s="356">
        <v>8600</v>
      </c>
      <c r="J10" s="356">
        <f t="shared" si="3"/>
        <v>217.76743352004024</v>
      </c>
      <c r="K10" s="94">
        <f t="shared" si="5"/>
        <v>40.437584458651855</v>
      </c>
      <c r="L10" s="367">
        <f t="shared" si="6"/>
        <v>8.112786225876544</v>
      </c>
      <c r="M10" s="94">
        <f t="shared" si="7"/>
        <v>59.84842297777778</v>
      </c>
      <c r="N10" s="94"/>
      <c r="O10" s="94">
        <f t="shared" si="4"/>
        <v>571.88493067654326</v>
      </c>
      <c r="P10" s="94"/>
      <c r="Q10" s="94"/>
      <c r="R10" s="94"/>
      <c r="S10" s="94"/>
      <c r="T10" s="94"/>
      <c r="U10" s="94"/>
      <c r="V10" s="94"/>
    </row>
    <row r="11" spans="1:24">
      <c r="A11" s="243" t="s">
        <v>6574</v>
      </c>
      <c r="B11" s="355">
        <v>4953996962</v>
      </c>
      <c r="C11" s="356">
        <v>556</v>
      </c>
      <c r="D11" s="356">
        <f t="shared" si="0"/>
        <v>25.897615830303451</v>
      </c>
      <c r="E11" s="356">
        <v>417.5</v>
      </c>
      <c r="F11" s="356">
        <f t="shared" si="1"/>
        <v>19.446501095596563</v>
      </c>
      <c r="G11" s="356">
        <v>600</v>
      </c>
      <c r="H11" s="356">
        <f t="shared" si="2"/>
        <v>27.947067442773506</v>
      </c>
      <c r="I11" s="356">
        <v>3770</v>
      </c>
      <c r="J11" s="356">
        <f t="shared" si="3"/>
        <v>175.60074043209354</v>
      </c>
      <c r="K11" s="94">
        <f t="shared" si="5"/>
        <v>68.010427428938272</v>
      </c>
      <c r="L11" s="367">
        <f t="shared" si="6"/>
        <v>51.068981028024695</v>
      </c>
      <c r="M11" s="94">
        <f t="shared" si="7"/>
        <v>73.392547585185184</v>
      </c>
      <c r="N11" s="94"/>
      <c r="O11" s="94">
        <f t="shared" si="4"/>
        <v>461.14984066024692</v>
      </c>
      <c r="P11" s="94"/>
      <c r="Q11" s="94"/>
      <c r="R11" s="94"/>
      <c r="S11" s="94"/>
      <c r="T11" s="94"/>
      <c r="U11" s="94"/>
      <c r="V11" s="94"/>
    </row>
    <row r="12" spans="1:24">
      <c r="A12" s="243" t="s">
        <v>5483</v>
      </c>
      <c r="B12" s="355">
        <v>1636875595</v>
      </c>
      <c r="C12" s="356">
        <v>352</v>
      </c>
      <c r="D12" s="356">
        <f t="shared" si="0"/>
        <v>5.417358715910547</v>
      </c>
      <c r="E12" s="356">
        <v>110</v>
      </c>
      <c r="F12" s="356">
        <f t="shared" si="1"/>
        <v>1.692924598722046</v>
      </c>
      <c r="G12" s="356">
        <v>650</v>
      </c>
      <c r="H12" s="356">
        <f t="shared" si="2"/>
        <v>10.003645356084817</v>
      </c>
      <c r="I12" s="356">
        <v>5398</v>
      </c>
      <c r="J12" s="356">
        <f t="shared" si="3"/>
        <v>83.076427126378235</v>
      </c>
      <c r="K12" s="94">
        <f t="shared" si="5"/>
        <v>14.226671838024691</v>
      </c>
      <c r="L12" s="367">
        <f t="shared" si="6"/>
        <v>4.4458349493827161</v>
      </c>
      <c r="M12" s="94">
        <f t="shared" si="7"/>
        <v>26.27084288271605</v>
      </c>
      <c r="N12" s="94"/>
      <c r="O12" s="94">
        <f t="shared" si="4"/>
        <v>218.16924597061728</v>
      </c>
      <c r="P12" s="94"/>
      <c r="Q12" s="94"/>
      <c r="R12" s="94"/>
      <c r="S12" s="94"/>
      <c r="T12" s="94"/>
      <c r="U12" s="94"/>
      <c r="V12" s="94"/>
    </row>
    <row r="13" spans="1:24">
      <c r="A13" s="243" t="s">
        <v>4358</v>
      </c>
      <c r="B13" s="355">
        <v>813683684</v>
      </c>
      <c r="C13" s="356">
        <v>2412</v>
      </c>
      <c r="D13" s="356">
        <f t="shared" si="0"/>
        <v>18.45279545635827</v>
      </c>
      <c r="E13" s="356">
        <v>2300</v>
      </c>
      <c r="F13" s="356">
        <f t="shared" si="1"/>
        <v>17.595949232845779</v>
      </c>
      <c r="G13" s="356">
        <v>4600</v>
      </c>
      <c r="H13" s="356">
        <f t="shared" si="2"/>
        <v>35.191898465691558</v>
      </c>
      <c r="I13" s="356">
        <v>33800</v>
      </c>
      <c r="J13" s="356">
        <f t="shared" si="3"/>
        <v>258.5839495957336</v>
      </c>
      <c r="K13" s="94">
        <f t="shared" si="5"/>
        <v>48.459383847111113</v>
      </c>
      <c r="L13" s="367">
        <f t="shared" si="6"/>
        <v>46.209196869135802</v>
      </c>
      <c r="M13" s="94">
        <f t="shared" si="7"/>
        <v>92.418393738271604</v>
      </c>
      <c r="N13" s="94"/>
      <c r="O13" s="94">
        <f t="shared" si="4"/>
        <v>679.07428442469131</v>
      </c>
      <c r="P13" s="94"/>
      <c r="Q13" s="94" t="s">
        <v>25</v>
      </c>
      <c r="R13" s="94"/>
      <c r="S13" s="94"/>
      <c r="T13" s="94"/>
      <c r="U13" s="94"/>
      <c r="V13" s="94"/>
    </row>
    <row r="14" spans="1:24">
      <c r="A14" s="243" t="s">
        <v>4832</v>
      </c>
      <c r="B14" s="355">
        <v>236958025</v>
      </c>
      <c r="C14" s="356">
        <v>803</v>
      </c>
      <c r="D14" s="356">
        <f t="shared" si="0"/>
        <v>1.7890242334059496</v>
      </c>
      <c r="E14" s="356">
        <v>590</v>
      </c>
      <c r="F14" s="356">
        <f t="shared" si="1"/>
        <v>1.3144760868113454</v>
      </c>
      <c r="G14" s="356">
        <v>1600</v>
      </c>
      <c r="H14" s="356">
        <f t="shared" si="2"/>
        <v>3.5646809133866997</v>
      </c>
      <c r="I14" s="356">
        <v>12680</v>
      </c>
      <c r="J14" s="356">
        <f t="shared" si="3"/>
        <v>28.250096238589592</v>
      </c>
      <c r="K14" s="94">
        <f t="shared" si="5"/>
        <v>4.6982047919753089</v>
      </c>
      <c r="L14" s="367">
        <f t="shared" si="6"/>
        <v>3.4519811049382718</v>
      </c>
      <c r="M14" s="94">
        <f t="shared" si="7"/>
        <v>9.3613046913580256</v>
      </c>
      <c r="N14" s="94"/>
      <c r="O14" s="94">
        <f t="shared" si="4"/>
        <v>74.188339679012344</v>
      </c>
      <c r="P14" s="94"/>
      <c r="Q14" s="94"/>
      <c r="R14" s="94"/>
      <c r="S14" s="94"/>
      <c r="T14" s="94"/>
      <c r="U14" s="94"/>
      <c r="V14" s="94"/>
    </row>
    <row r="15" spans="1:24">
      <c r="A15" s="357"/>
      <c r="B15" s="357"/>
      <c r="C15" s="357"/>
      <c r="D15" s="357"/>
      <c r="E15" s="357"/>
      <c r="F15" s="357"/>
      <c r="G15" s="358"/>
      <c r="H15" s="358"/>
      <c r="I15" s="358"/>
      <c r="J15" s="358"/>
      <c r="N15" s="94"/>
      <c r="O15" s="94"/>
      <c r="P15" s="94"/>
      <c r="Q15" s="94"/>
      <c r="R15" s="94"/>
      <c r="S15" s="94"/>
      <c r="T15" s="94"/>
      <c r="U15" s="94"/>
    </row>
    <row r="16" spans="1:24" ht="30">
      <c r="A16" s="361" t="s">
        <v>6415</v>
      </c>
      <c r="B16" s="362">
        <v>4113600000</v>
      </c>
      <c r="C16" s="363">
        <v>219</v>
      </c>
      <c r="D16" s="363">
        <f>B16*C16/$M$2</f>
        <v>12.5122</v>
      </c>
      <c r="E16" s="363">
        <v>95</v>
      </c>
      <c r="F16" s="363">
        <f>B16*E16/$M$2</f>
        <v>5.4276666666666671</v>
      </c>
      <c r="G16" s="363">
        <v>270</v>
      </c>
      <c r="H16" s="363">
        <f>B16*G16/$M$2</f>
        <v>15.426</v>
      </c>
      <c r="I16" s="363">
        <v>1690</v>
      </c>
      <c r="J16" s="363">
        <f>B16*I16/$M$2</f>
        <v>96.555333333333337</v>
      </c>
      <c r="N16" s="94"/>
      <c r="O16" s="94"/>
      <c r="P16" s="94"/>
      <c r="Q16" s="94" t="s">
        <v>25</v>
      </c>
      <c r="R16" s="94"/>
      <c r="S16" s="94"/>
      <c r="T16" s="94"/>
      <c r="U16" s="94"/>
    </row>
    <row r="17" spans="1:34" ht="45">
      <c r="A17" s="361" t="s">
        <v>6417</v>
      </c>
      <c r="B17" s="362">
        <v>325000000</v>
      </c>
      <c r="C17" s="363">
        <v>2900</v>
      </c>
      <c r="D17" s="363">
        <f>B17*C17/$M$2</f>
        <v>13.090277777777779</v>
      </c>
      <c r="E17" s="363">
        <v>2400</v>
      </c>
      <c r="F17" s="363">
        <f>B17*E17/$M$2</f>
        <v>10.833333333333334</v>
      </c>
      <c r="G17" s="363">
        <v>3600</v>
      </c>
      <c r="H17" s="363">
        <f>B17*G17/$M$2</f>
        <v>16.25</v>
      </c>
      <c r="I17" s="363">
        <v>25000</v>
      </c>
      <c r="J17" s="363">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45">
      <c r="A18" s="361" t="s">
        <v>6416</v>
      </c>
      <c r="B18" s="230">
        <v>0.45</v>
      </c>
      <c r="C18" s="363">
        <v>1460000000000</v>
      </c>
      <c r="D18" s="363">
        <f>B18*C18/$M$2</f>
        <v>9.125</v>
      </c>
      <c r="E18" s="363">
        <v>1000000000000</v>
      </c>
      <c r="F18" s="363">
        <f>B18*E18/$M$2</f>
        <v>6.25</v>
      </c>
      <c r="G18" s="363">
        <v>3200000000000</v>
      </c>
      <c r="H18" s="363">
        <f>B18*G18/$M$2</f>
        <v>20</v>
      </c>
      <c r="I18" s="363">
        <v>12000000000000</v>
      </c>
      <c r="J18" s="363">
        <f>B18*I18/$M$2</f>
        <v>75</v>
      </c>
      <c r="K18" s="94"/>
      <c r="L18" s="94"/>
      <c r="M18" s="94"/>
      <c r="N18" s="94"/>
      <c r="O18" s="94"/>
      <c r="P18" s="94"/>
      <c r="Q18" s="94"/>
      <c r="R18" s="94"/>
      <c r="S18" s="94"/>
      <c r="T18" s="94"/>
      <c r="U18" s="94"/>
      <c r="V18" s="94"/>
      <c r="W18" s="94"/>
      <c r="X18" s="94"/>
      <c r="Y18" s="94"/>
      <c r="Z18" s="94"/>
      <c r="AA18" s="94"/>
      <c r="AB18" s="94"/>
      <c r="AC18" s="94"/>
      <c r="AD18" s="94"/>
    </row>
    <row r="19" spans="1:34" ht="30">
      <c r="A19" s="361" t="s">
        <v>6431</v>
      </c>
      <c r="B19" s="230">
        <v>1</v>
      </c>
      <c r="C19" s="363">
        <v>400000000000</v>
      </c>
      <c r="D19" s="363">
        <f>B19*C19/$M$2</f>
        <v>5.5555555555555554</v>
      </c>
      <c r="E19" s="363">
        <v>300000000000</v>
      </c>
      <c r="F19" s="363">
        <f>B19*E19/$M$2</f>
        <v>4.166666666666667</v>
      </c>
      <c r="G19" s="363">
        <v>500000000000</v>
      </c>
      <c r="H19" s="363">
        <f>B19*G19/$M$2</f>
        <v>6.9444444444444446</v>
      </c>
      <c r="I19" s="363">
        <f>F37*M2</f>
        <v>6163197967999.999</v>
      </c>
      <c r="J19" s="363">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5813</v>
      </c>
      <c r="B20" s="170"/>
      <c r="C20" s="170"/>
      <c r="D20" s="364">
        <v>25</v>
      </c>
      <c r="E20" s="170"/>
      <c r="F20" s="364">
        <v>25</v>
      </c>
      <c r="G20" s="364"/>
      <c r="H20" s="364">
        <v>40</v>
      </c>
      <c r="I20" s="364" t="s">
        <v>5395</v>
      </c>
      <c r="J20" s="364">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4" t="s">
        <v>5593</v>
      </c>
      <c r="J21" s="364">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4" t="s">
        <v>5396</v>
      </c>
      <c r="J22" s="364">
        <v>140</v>
      </c>
      <c r="K22" s="94"/>
      <c r="L22" s="94"/>
      <c r="N22" s="94"/>
      <c r="O22" s="94"/>
      <c r="P22" s="94"/>
      <c r="Q22" s="94"/>
      <c r="R22" s="94"/>
      <c r="S22" s="94"/>
      <c r="T22" s="94"/>
      <c r="U22" s="94"/>
    </row>
    <row r="23" spans="1:34" ht="21">
      <c r="A23" s="257"/>
      <c r="B23" s="257"/>
      <c r="C23" s="257"/>
      <c r="D23" s="368">
        <f>SUM(D2:D22)</f>
        <v>309.42261552418364</v>
      </c>
      <c r="E23" s="369"/>
      <c r="F23" s="368">
        <f>F2+F3+F16+F17+F18+F19+F20+SUM(F6:F14)*0.8</f>
        <v>207.0681995505077</v>
      </c>
      <c r="G23" s="257"/>
      <c r="H23" s="366">
        <f>SUM(H2:H22)</f>
        <v>495.69859435167336</v>
      </c>
      <c r="I23" s="365" t="s">
        <v>4433</v>
      </c>
      <c r="J23" s="366">
        <f>SUM(J2:J22)</f>
        <v>3686.1963468567778</v>
      </c>
      <c r="M23" t="s">
        <v>25</v>
      </c>
    </row>
    <row r="24" spans="1:34" ht="21">
      <c r="A24" s="257"/>
      <c r="B24" s="257"/>
      <c r="C24" s="257"/>
      <c r="D24" s="369" t="s">
        <v>7053</v>
      </c>
      <c r="E24" s="369"/>
      <c r="F24" s="369" t="s">
        <v>6601</v>
      </c>
      <c r="G24" s="257"/>
      <c r="H24" s="365" t="s">
        <v>6928</v>
      </c>
      <c r="I24" s="365" t="s">
        <v>5010</v>
      </c>
      <c r="J24" s="366">
        <v>1560</v>
      </c>
      <c r="AD24" t="s">
        <v>25</v>
      </c>
    </row>
    <row r="25" spans="1:34" ht="21">
      <c r="A25" s="257"/>
      <c r="B25" s="257"/>
      <c r="C25" s="257"/>
      <c r="D25" s="257"/>
      <c r="E25" s="257"/>
      <c r="F25" s="257"/>
      <c r="G25" s="257"/>
      <c r="H25" s="257"/>
      <c r="I25" s="365" t="s">
        <v>5011</v>
      </c>
      <c r="J25" s="365">
        <f>J24/J23</f>
        <v>0.42320046281045587</v>
      </c>
      <c r="L25" t="s">
        <v>25</v>
      </c>
      <c r="T25" t="s">
        <v>25</v>
      </c>
    </row>
    <row r="26" spans="1:34">
      <c r="N26" t="s">
        <v>25</v>
      </c>
    </row>
    <row r="27" spans="1:34">
      <c r="A27" s="94"/>
      <c r="B27" s="94"/>
      <c r="E27" s="94"/>
      <c r="F27" s="94"/>
      <c r="G27" s="94"/>
      <c r="H27" s="94">
        <f>F2+F3+F16+F17+F18+F19+F20+(SUM(F6:F14)*0.8)</f>
        <v>207.0681995505077</v>
      </c>
      <c r="I27" s="94"/>
      <c r="J27" s="94"/>
      <c r="K27" s="94"/>
      <c r="L27" s="94"/>
    </row>
    <row r="28" spans="1:34" ht="18.75">
      <c r="A28" s="306" t="s">
        <v>6430</v>
      </c>
      <c r="B28" s="306" t="s">
        <v>4824</v>
      </c>
      <c r="C28" s="306" t="s">
        <v>6424</v>
      </c>
      <c r="D28" s="306" t="s">
        <v>5512</v>
      </c>
      <c r="E28" s="306" t="s">
        <v>6423</v>
      </c>
      <c r="F28" s="306" t="s">
        <v>6433</v>
      </c>
      <c r="H28" s="94"/>
      <c r="I28" s="94"/>
      <c r="J28" s="94"/>
      <c r="K28" s="94"/>
      <c r="L28" s="94"/>
    </row>
    <row r="29" spans="1:34" ht="18.75">
      <c r="A29" s="304" t="s">
        <v>6422</v>
      </c>
      <c r="B29" s="312">
        <v>880639000</v>
      </c>
      <c r="C29" s="319">
        <v>110</v>
      </c>
      <c r="D29" s="319">
        <f t="shared" ref="D29:D35" si="8">B29*C29/$M$2</f>
        <v>1.3454206944444445</v>
      </c>
      <c r="E29" s="370">
        <v>952</v>
      </c>
      <c r="F29" s="319">
        <f t="shared" ref="F29:F35" si="9">B29*E29/$M$2</f>
        <v>11.644004555555556</v>
      </c>
      <c r="H29" s="112">
        <f>SUM(F2:F20)</f>
        <v>235.079720521468</v>
      </c>
      <c r="I29" s="94"/>
      <c r="J29" s="94"/>
      <c r="K29" s="94"/>
      <c r="L29" s="94"/>
    </row>
    <row r="30" spans="1:34" ht="18.75">
      <c r="A30" s="305" t="s">
        <v>6425</v>
      </c>
      <c r="B30" s="313">
        <v>1175000000</v>
      </c>
      <c r="C30" s="320">
        <v>30</v>
      </c>
      <c r="D30" s="320">
        <f t="shared" si="8"/>
        <v>0.48958333333333331</v>
      </c>
      <c r="E30" s="371">
        <v>628</v>
      </c>
      <c r="F30" s="320">
        <f t="shared" si="9"/>
        <v>10.248611111111112</v>
      </c>
      <c r="H30" s="94"/>
      <c r="I30" s="94"/>
      <c r="J30" s="94"/>
      <c r="K30" s="94"/>
      <c r="L30" s="94"/>
      <c r="O30" t="s">
        <v>4898</v>
      </c>
    </row>
    <row r="31" spans="1:34" ht="18.75">
      <c r="A31" s="307" t="s">
        <v>6426</v>
      </c>
      <c r="B31" s="314">
        <v>1120000000</v>
      </c>
      <c r="C31" s="321">
        <v>100</v>
      </c>
      <c r="D31" s="321">
        <f t="shared" si="8"/>
        <v>1.5555555555555556</v>
      </c>
      <c r="E31" s="372">
        <v>893</v>
      </c>
      <c r="F31" s="321">
        <f t="shared" si="9"/>
        <v>13.891111111111112</v>
      </c>
      <c r="H31" s="94"/>
      <c r="I31" s="94"/>
      <c r="J31" s="94"/>
      <c r="K31" s="94"/>
      <c r="L31" s="94"/>
      <c r="O31" s="97" t="s">
        <v>180</v>
      </c>
      <c r="P31" s="97" t="s">
        <v>267</v>
      </c>
      <c r="Q31" s="97" t="s">
        <v>4896</v>
      </c>
      <c r="R31" s="97"/>
      <c r="S31" s="97"/>
      <c r="T31" s="97"/>
      <c r="U31" s="94"/>
      <c r="V31" s="94"/>
      <c r="W31" s="206" t="s">
        <v>6403</v>
      </c>
      <c r="X31" s="206" t="s">
        <v>25</v>
      </c>
      <c r="Y31" s="206"/>
      <c r="Z31" s="206"/>
      <c r="AA31" s="97"/>
      <c r="AB31" s="206" t="s">
        <v>6404</v>
      </c>
      <c r="AC31" s="206"/>
      <c r="AD31" s="206"/>
      <c r="AE31" s="206"/>
      <c r="AF31" s="206"/>
      <c r="AH31" t="s">
        <v>25</v>
      </c>
    </row>
    <row r="32" spans="1:34" ht="18.75">
      <c r="A32" s="308" t="s">
        <v>6427</v>
      </c>
      <c r="B32" s="315">
        <v>468000000</v>
      </c>
      <c r="C32" s="322">
        <v>180</v>
      </c>
      <c r="D32" s="322">
        <f t="shared" si="8"/>
        <v>1.17</v>
      </c>
      <c r="E32" s="373">
        <v>4566</v>
      </c>
      <c r="F32" s="322">
        <f t="shared" si="9"/>
        <v>29.678999999999998</v>
      </c>
      <c r="H32" s="94"/>
      <c r="I32" s="94"/>
      <c r="J32" s="94"/>
      <c r="K32" s="94"/>
      <c r="L32" s="94"/>
      <c r="O32" s="97" t="s">
        <v>4889</v>
      </c>
      <c r="P32" s="18">
        <v>7500000</v>
      </c>
      <c r="Q32" s="97">
        <v>4</v>
      </c>
      <c r="R32" s="97">
        <f>Q32+R33</f>
        <v>936</v>
      </c>
      <c r="S32" s="97">
        <f>P32*R32</f>
        <v>7020000000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6428</v>
      </c>
      <c r="B33" s="316">
        <v>393000000</v>
      </c>
      <c r="C33" s="323">
        <v>100</v>
      </c>
      <c r="D33" s="323">
        <f t="shared" si="8"/>
        <v>0.54583333333333328</v>
      </c>
      <c r="E33" s="374">
        <v>1774</v>
      </c>
      <c r="F33" s="323">
        <f t="shared" si="9"/>
        <v>9.6830833333333342</v>
      </c>
      <c r="H33" s="94"/>
      <c r="I33" s="94" t="s">
        <v>25</v>
      </c>
      <c r="J33" s="94"/>
      <c r="K33" s="94"/>
      <c r="L33" s="94"/>
      <c r="O33" s="97" t="s">
        <v>4895</v>
      </c>
      <c r="P33" s="18">
        <v>-500000</v>
      </c>
      <c r="Q33" s="97">
        <v>7</v>
      </c>
      <c r="R33" s="97">
        <f t="shared" ref="R33:R96" si="10">Q33+R34</f>
        <v>932</v>
      </c>
      <c r="S33" s="97">
        <f t="shared" ref="S33:S96" si="11">P33*R33</f>
        <v>-466000000</v>
      </c>
      <c r="T33" s="97"/>
      <c r="U33" s="94"/>
      <c r="V33" s="94"/>
      <c r="W33" s="206" t="s">
        <v>6393</v>
      </c>
      <c r="X33" s="18">
        <v>55000000</v>
      </c>
      <c r="Y33" s="206">
        <v>1</v>
      </c>
      <c r="Z33" s="206">
        <f>Y33+Z34</f>
        <v>12</v>
      </c>
      <c r="AA33" s="18">
        <f>X33*Z33</f>
        <v>660000000</v>
      </c>
      <c r="AB33" s="206" t="s">
        <v>6402</v>
      </c>
      <c r="AC33" s="18">
        <v>197440000</v>
      </c>
      <c r="AD33" s="206">
        <v>11</v>
      </c>
      <c r="AE33" s="18">
        <f>AC33*AD33</f>
        <v>2171840000</v>
      </c>
      <c r="AF33" s="206"/>
    </row>
    <row r="34" spans="1:33" ht="18.75">
      <c r="A34" s="310" t="s">
        <v>6429</v>
      </c>
      <c r="B34" s="317">
        <v>4360000</v>
      </c>
      <c r="C34" s="324">
        <v>347</v>
      </c>
      <c r="D34" s="324">
        <f t="shared" si="8"/>
        <v>2.1012777777777776E-2</v>
      </c>
      <c r="E34" s="375">
        <v>11399</v>
      </c>
      <c r="F34" s="324">
        <f t="shared" si="9"/>
        <v>0.69027277777777774</v>
      </c>
      <c r="H34" s="94"/>
      <c r="I34" s="94"/>
      <c r="J34" s="94"/>
      <c r="K34" s="94"/>
      <c r="L34" s="94"/>
      <c r="O34" s="97" t="s">
        <v>4903</v>
      </c>
      <c r="P34" s="18">
        <v>-7000000</v>
      </c>
      <c r="Q34" s="97">
        <v>1</v>
      </c>
      <c r="R34" s="97">
        <f t="shared" si="10"/>
        <v>925</v>
      </c>
      <c r="S34" s="97">
        <f t="shared" si="11"/>
        <v>-6475000000</v>
      </c>
      <c r="T34" s="97"/>
      <c r="U34" s="94"/>
      <c r="V34" s="94"/>
      <c r="W34" s="206" t="s">
        <v>6405</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6432</v>
      </c>
      <c r="B35" s="318">
        <v>1</v>
      </c>
      <c r="C35" s="325">
        <v>80000000000</v>
      </c>
      <c r="D35" s="325">
        <f t="shared" si="8"/>
        <v>1.1111111111111112</v>
      </c>
      <c r="E35" s="376">
        <v>703000000000</v>
      </c>
      <c r="F35" s="325">
        <f t="shared" si="9"/>
        <v>9.7638888888888893</v>
      </c>
      <c r="G35" s="94"/>
      <c r="H35" s="94"/>
      <c r="I35" s="94"/>
      <c r="J35" s="94"/>
      <c r="K35" s="94"/>
      <c r="L35" s="94"/>
      <c r="O35" s="97" t="s">
        <v>4906</v>
      </c>
      <c r="P35" s="18">
        <v>2000000</v>
      </c>
      <c r="Q35" s="97">
        <v>6</v>
      </c>
      <c r="R35" s="97">
        <f t="shared" si="10"/>
        <v>924</v>
      </c>
      <c r="S35" s="97">
        <f t="shared" si="11"/>
        <v>1848000000</v>
      </c>
      <c r="T35" s="97"/>
      <c r="U35" s="94"/>
      <c r="V35" s="94"/>
      <c r="W35" s="206" t="s">
        <v>6406</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4918</v>
      </c>
      <c r="P36" s="18">
        <v>1000000</v>
      </c>
      <c r="Q36" s="97">
        <v>3</v>
      </c>
      <c r="R36" s="97">
        <f t="shared" si="10"/>
        <v>918</v>
      </c>
      <c r="S36" s="97">
        <f t="shared" si="11"/>
        <v>918000000</v>
      </c>
      <c r="T36" s="97"/>
      <c r="U36" s="94"/>
      <c r="V36" s="94"/>
      <c r="W36" s="206" t="s">
        <v>6399</v>
      </c>
      <c r="X36" s="18">
        <v>680000</v>
      </c>
      <c r="Y36" s="206">
        <v>1</v>
      </c>
      <c r="Z36" s="206">
        <f t="shared" si="12"/>
        <v>8</v>
      </c>
      <c r="AA36" s="18">
        <f t="shared" si="13"/>
        <v>5440000</v>
      </c>
      <c r="AB36" s="206"/>
      <c r="AC36" s="18"/>
      <c r="AD36" s="206"/>
      <c r="AE36" s="206"/>
      <c r="AF36" s="206"/>
    </row>
    <row r="37" spans="1:33" ht="18.75">
      <c r="A37" s="303"/>
      <c r="B37" s="303"/>
      <c r="C37" s="303"/>
      <c r="D37" s="327">
        <f>SUM(D29:D35)</f>
        <v>6.2385168055555553</v>
      </c>
      <c r="E37" s="303" t="s">
        <v>6</v>
      </c>
      <c r="F37" s="348">
        <f>SUM(F29:F35)</f>
        <v>85.599971777777768</v>
      </c>
      <c r="H37" s="94"/>
      <c r="I37" s="94"/>
      <c r="J37" s="94"/>
      <c r="K37" s="94"/>
      <c r="L37" s="94"/>
      <c r="O37" s="97" t="s">
        <v>4925</v>
      </c>
      <c r="P37" s="18">
        <v>200000</v>
      </c>
      <c r="Q37" s="97">
        <v>3</v>
      </c>
      <c r="R37" s="97">
        <f t="shared" si="10"/>
        <v>915</v>
      </c>
      <c r="S37" s="97">
        <f t="shared" si="11"/>
        <v>183000000</v>
      </c>
      <c r="T37" s="97"/>
      <c r="U37" s="94"/>
      <c r="V37" s="94"/>
      <c r="W37" s="206" t="s">
        <v>6407</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4928</v>
      </c>
      <c r="P38" s="18">
        <v>-3200000</v>
      </c>
      <c r="Q38" s="97">
        <v>6</v>
      </c>
      <c r="R38" s="97">
        <f t="shared" si="10"/>
        <v>912</v>
      </c>
      <c r="S38" s="97">
        <f t="shared" si="11"/>
        <v>-2918400000</v>
      </c>
      <c r="T38" s="97"/>
      <c r="U38" s="94"/>
      <c r="V38" s="94"/>
      <c r="W38" s="206" t="s">
        <v>6408</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4940</v>
      </c>
      <c r="P39" s="18">
        <v>6000000</v>
      </c>
      <c r="Q39" s="97">
        <v>1</v>
      </c>
      <c r="R39" s="97">
        <f t="shared" si="10"/>
        <v>906</v>
      </c>
      <c r="S39" s="97">
        <f t="shared" si="11"/>
        <v>5436000000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4941</v>
      </c>
      <c r="P40" s="18">
        <v>2000000</v>
      </c>
      <c r="Q40" s="97">
        <v>3</v>
      </c>
      <c r="R40" s="97">
        <f t="shared" si="10"/>
        <v>905</v>
      </c>
      <c r="S40" s="97">
        <f t="shared" si="11"/>
        <v>1810000000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4948</v>
      </c>
      <c r="P41" s="18">
        <v>-50000</v>
      </c>
      <c r="Q41" s="97">
        <v>7</v>
      </c>
      <c r="R41" s="97">
        <f t="shared" si="10"/>
        <v>902</v>
      </c>
      <c r="S41" s="97">
        <f t="shared" si="11"/>
        <v>-45100000</v>
      </c>
      <c r="T41" s="97"/>
      <c r="U41" s="94"/>
      <c r="V41" s="94"/>
      <c r="W41" s="206"/>
      <c r="X41" s="18"/>
      <c r="Y41" s="206"/>
      <c r="Z41" s="206">
        <f t="shared" si="12"/>
        <v>0</v>
      </c>
      <c r="AA41" s="18">
        <f t="shared" si="13"/>
        <v>0</v>
      </c>
      <c r="AB41" s="206"/>
      <c r="AC41" s="18"/>
      <c r="AD41" s="206"/>
      <c r="AE41" s="206"/>
      <c r="AF41" s="206"/>
    </row>
    <row r="42" spans="1:33">
      <c r="C42" s="94" t="s">
        <v>25</v>
      </c>
      <c r="O42" s="97" t="s">
        <v>4954</v>
      </c>
      <c r="P42" s="18">
        <v>-2480000</v>
      </c>
      <c r="Q42" s="97">
        <v>5</v>
      </c>
      <c r="R42" s="97">
        <f t="shared" si="10"/>
        <v>895</v>
      </c>
      <c r="S42" s="97">
        <f t="shared" si="11"/>
        <v>-2219600000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4962</v>
      </c>
      <c r="P43" s="18">
        <v>300000</v>
      </c>
      <c r="Q43" s="97">
        <v>1</v>
      </c>
      <c r="R43" s="97">
        <f t="shared" si="10"/>
        <v>890</v>
      </c>
      <c r="S43" s="97">
        <f t="shared" si="11"/>
        <v>267000000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889</v>
      </c>
      <c r="S44" s="97">
        <f t="shared" si="11"/>
        <v>266700000</v>
      </c>
      <c r="T44" s="97"/>
      <c r="U44" s="94"/>
      <c r="V44" s="94"/>
      <c r="W44" s="206"/>
      <c r="X44" s="18"/>
      <c r="Y44" s="206"/>
      <c r="Z44" s="206">
        <f t="shared" si="12"/>
        <v>0</v>
      </c>
      <c r="AA44" s="18">
        <f t="shared" si="13"/>
        <v>0</v>
      </c>
      <c r="AB44" s="206"/>
      <c r="AC44" s="18"/>
      <c r="AD44" s="206"/>
      <c r="AE44" s="206"/>
      <c r="AF44" s="206"/>
    </row>
    <row r="45" spans="1:33">
      <c r="C45" s="94" t="s">
        <v>5074</v>
      </c>
      <c r="D45" s="94" t="s">
        <v>5080</v>
      </c>
      <c r="E45" t="s">
        <v>5081</v>
      </c>
      <c r="F45" t="s">
        <v>5083</v>
      </c>
      <c r="G45" t="s">
        <v>5084</v>
      </c>
      <c r="H45" t="s">
        <v>25</v>
      </c>
      <c r="O45" s="97" t="s">
        <v>4971</v>
      </c>
      <c r="P45" s="18">
        <v>500000</v>
      </c>
      <c r="Q45" s="97">
        <v>2</v>
      </c>
      <c r="R45" s="97">
        <f t="shared" si="10"/>
        <v>883</v>
      </c>
      <c r="S45" s="97">
        <f t="shared" si="11"/>
        <v>441500000</v>
      </c>
      <c r="T45" s="97"/>
      <c r="U45" s="94"/>
      <c r="V45" s="94"/>
      <c r="W45" s="206"/>
      <c r="X45" s="18"/>
      <c r="Y45" s="206"/>
      <c r="Z45" s="206">
        <f t="shared" si="12"/>
        <v>0</v>
      </c>
      <c r="AA45" s="18">
        <f t="shared" si="13"/>
        <v>0</v>
      </c>
      <c r="AB45" s="206"/>
      <c r="AC45" s="18"/>
      <c r="AD45" s="206"/>
      <c r="AE45" s="206"/>
      <c r="AF45" s="206"/>
    </row>
    <row r="46" spans="1:33">
      <c r="C46" s="94" t="s">
        <v>5079</v>
      </c>
      <c r="D46" s="94">
        <v>1306</v>
      </c>
      <c r="E46">
        <v>0.53500000000000003</v>
      </c>
      <c r="F46">
        <f t="shared" ref="F46:F52" si="14">D46*E46*$D$57</f>
        <v>698710000</v>
      </c>
      <c r="G46">
        <f>F46*11400/1000000000</f>
        <v>7965.2939999999999</v>
      </c>
      <c r="J46" t="s">
        <v>25</v>
      </c>
      <c r="O46" s="97" t="s">
        <v>4977</v>
      </c>
      <c r="P46" s="18">
        <v>100000</v>
      </c>
      <c r="Q46" s="97">
        <v>1</v>
      </c>
      <c r="R46" s="97">
        <f t="shared" si="10"/>
        <v>881</v>
      </c>
      <c r="S46" s="97">
        <f t="shared" si="11"/>
        <v>88100000</v>
      </c>
      <c r="T46" s="97"/>
      <c r="U46" s="94"/>
      <c r="V46" s="94"/>
      <c r="W46" s="206"/>
      <c r="X46" s="18" t="s">
        <v>25</v>
      </c>
      <c r="Y46" s="206"/>
      <c r="Z46" s="206">
        <f t="shared" si="12"/>
        <v>0</v>
      </c>
      <c r="AA46" s="18" t="e">
        <f t="shared" si="13"/>
        <v>#VALUE!</v>
      </c>
      <c r="AB46" s="206"/>
      <c r="AC46" s="18"/>
      <c r="AD46" s="206"/>
      <c r="AE46" s="206"/>
      <c r="AF46" s="206"/>
    </row>
    <row r="47" spans="1:33">
      <c r="B47" s="94"/>
      <c r="C47" s="94" t="s">
        <v>5085</v>
      </c>
      <c r="D47" s="94">
        <v>10</v>
      </c>
      <c r="E47" s="94">
        <v>0.5</v>
      </c>
      <c r="F47" s="94">
        <f t="shared" si="14"/>
        <v>5000000</v>
      </c>
      <c r="G47" s="94">
        <f t="shared" ref="G47:G52" si="15">F47*11400/1000000000</f>
        <v>57</v>
      </c>
      <c r="O47" s="97" t="s">
        <v>4978</v>
      </c>
      <c r="P47" s="18">
        <v>-6423626</v>
      </c>
      <c r="Q47" s="97">
        <v>1</v>
      </c>
      <c r="R47" s="97">
        <f t="shared" si="10"/>
        <v>880</v>
      </c>
      <c r="S47" s="97">
        <f t="shared" si="11"/>
        <v>-5652790880</v>
      </c>
      <c r="T47" s="97"/>
      <c r="U47" s="94"/>
      <c r="V47" s="94"/>
      <c r="W47" s="206"/>
      <c r="X47" s="206"/>
      <c r="Y47" s="206"/>
      <c r="Z47" s="206">
        <f t="shared" si="12"/>
        <v>0</v>
      </c>
      <c r="AA47" s="18">
        <f t="shared" si="13"/>
        <v>0</v>
      </c>
      <c r="AB47" s="206"/>
      <c r="AC47" s="206"/>
      <c r="AD47" s="206"/>
      <c r="AE47" s="206"/>
      <c r="AF47" s="206"/>
    </row>
    <row r="48" spans="1:33">
      <c r="B48" s="94"/>
      <c r="C48" s="94" t="s">
        <v>5086</v>
      </c>
      <c r="D48" s="94">
        <v>492</v>
      </c>
      <c r="E48" s="94">
        <v>0.65</v>
      </c>
      <c r="F48" s="94">
        <f t="shared" si="14"/>
        <v>319800000</v>
      </c>
      <c r="G48" s="94">
        <f t="shared" si="15"/>
        <v>3645.72</v>
      </c>
      <c r="J48" t="s">
        <v>25</v>
      </c>
      <c r="L48" t="s">
        <v>25</v>
      </c>
      <c r="O48" s="97" t="s">
        <v>4981</v>
      </c>
      <c r="P48" s="18">
        <v>-4592486</v>
      </c>
      <c r="Q48" s="97">
        <v>0</v>
      </c>
      <c r="R48" s="97">
        <f t="shared" si="10"/>
        <v>879</v>
      </c>
      <c r="S48" s="97">
        <f t="shared" si="11"/>
        <v>-4036795194</v>
      </c>
      <c r="T48" s="97"/>
      <c r="U48" s="94"/>
      <c r="V48" s="94"/>
      <c r="W48" s="206"/>
      <c r="X48" s="206"/>
      <c r="Y48" s="206"/>
      <c r="Z48" s="206"/>
      <c r="AA48" s="18"/>
      <c r="AB48" s="206"/>
      <c r="AC48" s="206"/>
      <c r="AD48" s="206"/>
      <c r="AE48" s="206"/>
      <c r="AF48" s="206"/>
    </row>
    <row r="49" spans="1:32">
      <c r="A49" t="s">
        <v>5762</v>
      </c>
      <c r="B49" s="94"/>
      <c r="C49" s="94" t="s">
        <v>5087</v>
      </c>
      <c r="D49" s="94">
        <v>235</v>
      </c>
      <c r="E49" s="94">
        <v>1</v>
      </c>
      <c r="F49" s="94">
        <f t="shared" si="14"/>
        <v>235000000</v>
      </c>
      <c r="G49" s="94">
        <f t="shared" si="15"/>
        <v>2679</v>
      </c>
      <c r="O49" s="97" t="s">
        <v>4981</v>
      </c>
      <c r="P49" s="18">
        <v>4346112</v>
      </c>
      <c r="Q49" s="97">
        <v>11</v>
      </c>
      <c r="R49" s="97">
        <f t="shared" si="10"/>
        <v>879</v>
      </c>
      <c r="S49" s="97">
        <f t="shared" si="11"/>
        <v>3820232448</v>
      </c>
      <c r="T49" s="97"/>
      <c r="U49" s="94"/>
      <c r="V49" s="94"/>
      <c r="W49" s="206"/>
      <c r="X49" s="206"/>
      <c r="Y49" s="206"/>
      <c r="Z49" s="206"/>
      <c r="AA49" s="18"/>
      <c r="AB49" s="206"/>
      <c r="AC49" s="206"/>
      <c r="AD49" s="206"/>
      <c r="AE49" s="206"/>
      <c r="AF49" s="206"/>
    </row>
    <row r="50" spans="1:32">
      <c r="A50" s="94" t="s">
        <v>5763</v>
      </c>
      <c r="B50" s="94">
        <v>0.3</v>
      </c>
      <c r="C50" s="94" t="s">
        <v>5088</v>
      </c>
      <c r="D50" s="94">
        <v>500</v>
      </c>
      <c r="E50" s="94">
        <v>0.6</v>
      </c>
      <c r="F50" s="94">
        <f t="shared" si="14"/>
        <v>300000000</v>
      </c>
      <c r="G50" s="94">
        <f t="shared" si="15"/>
        <v>3420</v>
      </c>
      <c r="O50" s="97" t="s">
        <v>4994</v>
      </c>
      <c r="P50" s="18">
        <v>1500000</v>
      </c>
      <c r="Q50" s="97">
        <v>16</v>
      </c>
      <c r="R50" s="97">
        <f t="shared" si="10"/>
        <v>868</v>
      </c>
      <c r="S50" s="97">
        <f t="shared" si="11"/>
        <v>1302000000</v>
      </c>
      <c r="T50" s="97"/>
      <c r="U50" s="94"/>
      <c r="V50" s="94"/>
      <c r="W50" s="206"/>
      <c r="X50" s="206"/>
      <c r="Y50" s="206"/>
      <c r="Z50" s="206"/>
      <c r="AA50" s="18">
        <f>SUM(AA33:AA39)</f>
        <v>1955730381</v>
      </c>
      <c r="AB50" s="206"/>
      <c r="AC50" s="206"/>
      <c r="AD50" s="206"/>
      <c r="AE50" s="206"/>
      <c r="AF50" s="206"/>
    </row>
    <row r="51" spans="1:32">
      <c r="A51" s="94" t="s">
        <v>5292</v>
      </c>
      <c r="B51" s="18">
        <v>36000000000000</v>
      </c>
      <c r="C51" s="94" t="s">
        <v>5089</v>
      </c>
      <c r="D51" s="94">
        <v>903</v>
      </c>
      <c r="E51" s="94">
        <v>1</v>
      </c>
      <c r="F51" s="94">
        <f t="shared" si="14"/>
        <v>903000000</v>
      </c>
      <c r="G51" s="94">
        <f>F51*11400/1000000000</f>
        <v>10294.200000000001</v>
      </c>
      <c r="H51">
        <v>1</v>
      </c>
      <c r="O51" s="97" t="s">
        <v>4984</v>
      </c>
      <c r="P51" s="18">
        <v>6000000</v>
      </c>
      <c r="Q51" s="97">
        <v>8</v>
      </c>
      <c r="R51" s="97">
        <f t="shared" si="10"/>
        <v>852</v>
      </c>
      <c r="S51" s="97">
        <f t="shared" si="11"/>
        <v>5112000000</v>
      </c>
      <c r="T51" s="97"/>
      <c r="U51" s="94"/>
      <c r="V51" s="94"/>
    </row>
    <row r="52" spans="1:32">
      <c r="A52" s="120" t="s">
        <v>4824</v>
      </c>
      <c r="B52" s="94">
        <v>18000000000</v>
      </c>
      <c r="E52" s="94"/>
      <c r="F52" s="94">
        <f t="shared" si="14"/>
        <v>0</v>
      </c>
      <c r="G52" s="94">
        <f t="shared" si="15"/>
        <v>0</v>
      </c>
      <c r="L52" t="s">
        <v>25</v>
      </c>
      <c r="O52" s="97" t="s">
        <v>5034</v>
      </c>
      <c r="P52" s="18">
        <v>-50000</v>
      </c>
      <c r="Q52" s="97">
        <v>3</v>
      </c>
      <c r="R52" s="97">
        <f t="shared" si="10"/>
        <v>844</v>
      </c>
      <c r="S52" s="97">
        <f t="shared" si="11"/>
        <v>-42200000</v>
      </c>
      <c r="T52" s="97"/>
      <c r="U52" s="94"/>
      <c r="V52" s="94"/>
    </row>
    <row r="53" spans="1:32">
      <c r="A53" s="120" t="s">
        <v>5764</v>
      </c>
      <c r="B53" s="18">
        <f>B50*B51/B52</f>
        <v>600</v>
      </c>
      <c r="E53" s="94"/>
      <c r="F53" s="94"/>
      <c r="G53" s="94"/>
      <c r="O53" s="97" t="s">
        <v>5037</v>
      </c>
      <c r="P53" s="18">
        <v>-20000</v>
      </c>
      <c r="Q53" s="97">
        <v>7</v>
      </c>
      <c r="R53" s="97">
        <f t="shared" si="10"/>
        <v>841</v>
      </c>
      <c r="S53" s="97">
        <f t="shared" si="11"/>
        <v>-16820000</v>
      </c>
      <c r="T53" s="97"/>
      <c r="U53" s="94"/>
      <c r="V53" s="94"/>
    </row>
    <row r="54" spans="1:32">
      <c r="A54" s="120" t="s">
        <v>5765</v>
      </c>
      <c r="B54" s="120">
        <v>872000000</v>
      </c>
      <c r="E54" s="94"/>
      <c r="F54" s="94"/>
      <c r="G54" s="94"/>
      <c r="O54" s="97" t="s">
        <v>4996</v>
      </c>
      <c r="P54" s="18">
        <v>6000000</v>
      </c>
      <c r="Q54" s="97">
        <v>1</v>
      </c>
      <c r="R54" s="97">
        <f t="shared" si="10"/>
        <v>834</v>
      </c>
      <c r="S54" s="97">
        <f t="shared" si="11"/>
        <v>5004000000</v>
      </c>
      <c r="T54" s="97"/>
      <c r="U54" s="94"/>
      <c r="V54" s="94"/>
    </row>
    <row r="55" spans="1:32">
      <c r="A55" s="120" t="s">
        <v>5766</v>
      </c>
      <c r="B55" s="18">
        <v>750</v>
      </c>
      <c r="E55" s="94"/>
      <c r="F55" s="94"/>
      <c r="N55" t="s">
        <v>25</v>
      </c>
      <c r="O55" s="97" t="s">
        <v>5053</v>
      </c>
      <c r="P55" s="18">
        <v>-2302282</v>
      </c>
      <c r="Q55" s="97">
        <v>6</v>
      </c>
      <c r="R55" s="97">
        <f t="shared" si="10"/>
        <v>833</v>
      </c>
      <c r="S55" s="97">
        <f t="shared" si="11"/>
        <v>-1917800906</v>
      </c>
      <c r="T55" s="97"/>
      <c r="U55" s="94"/>
      <c r="V55" s="94"/>
    </row>
    <row r="56" spans="1:32">
      <c r="A56" s="120" t="s">
        <v>5767</v>
      </c>
      <c r="B56" s="94">
        <f>B54*B55/B52</f>
        <v>36.333333333333336</v>
      </c>
      <c r="C56" s="94" t="s">
        <v>5075</v>
      </c>
      <c r="D56" s="94" t="s">
        <v>5076</v>
      </c>
      <c r="E56" s="94"/>
      <c r="F56" s="94"/>
      <c r="O56" s="97" t="s">
        <v>5058</v>
      </c>
      <c r="P56" s="18">
        <v>100000</v>
      </c>
      <c r="Q56" s="97">
        <v>1</v>
      </c>
      <c r="R56" s="97">
        <f t="shared" si="10"/>
        <v>827</v>
      </c>
      <c r="S56" s="97">
        <f t="shared" si="11"/>
        <v>82700000</v>
      </c>
      <c r="T56" s="97"/>
      <c r="U56" s="94"/>
      <c r="V56" s="94"/>
    </row>
    <row r="57" spans="1:32">
      <c r="A57" s="120"/>
      <c r="B57" s="120"/>
      <c r="C57" s="94" t="s">
        <v>5082</v>
      </c>
      <c r="D57" s="94">
        <v>1000000</v>
      </c>
      <c r="E57" s="94"/>
      <c r="F57" s="94"/>
      <c r="O57" s="97" t="s">
        <v>5061</v>
      </c>
      <c r="P57" s="18">
        <v>-1727718</v>
      </c>
      <c r="Q57" s="97">
        <v>2</v>
      </c>
      <c r="R57" s="97">
        <f t="shared" si="10"/>
        <v>826</v>
      </c>
      <c r="S57" s="97">
        <f t="shared" si="11"/>
        <v>-1427095068</v>
      </c>
      <c r="T57" s="97"/>
      <c r="U57" s="94"/>
      <c r="V57" s="94"/>
    </row>
    <row r="58" spans="1:32">
      <c r="A58" s="120"/>
      <c r="B58" s="18"/>
      <c r="C58" s="94" t="s">
        <v>5077</v>
      </c>
      <c r="D58" s="94" t="s">
        <v>5078</v>
      </c>
      <c r="E58" s="94"/>
      <c r="F58" s="94"/>
      <c r="O58" s="97" t="s">
        <v>5065</v>
      </c>
      <c r="P58" s="18">
        <v>-1000000</v>
      </c>
      <c r="Q58" s="97">
        <v>0</v>
      </c>
      <c r="R58" s="97">
        <f t="shared" si="10"/>
        <v>824</v>
      </c>
      <c r="S58" s="97">
        <f t="shared" si="11"/>
        <v>-824000000</v>
      </c>
      <c r="T58" s="97"/>
      <c r="U58" s="94"/>
      <c r="V58" s="94"/>
    </row>
    <row r="59" spans="1:32">
      <c r="A59" s="120"/>
      <c r="B59" s="94"/>
      <c r="E59" s="94"/>
      <c r="F59" s="94"/>
      <c r="O59" s="97" t="s">
        <v>5065</v>
      </c>
      <c r="P59" s="18">
        <v>-439200</v>
      </c>
      <c r="Q59" s="97">
        <v>1</v>
      </c>
      <c r="R59" s="97">
        <f t="shared" si="10"/>
        <v>824</v>
      </c>
      <c r="S59" s="97">
        <f t="shared" si="11"/>
        <v>-361900800</v>
      </c>
      <c r="T59" s="97"/>
      <c r="U59" s="94"/>
      <c r="V59" s="94"/>
    </row>
    <row r="60" spans="1:32">
      <c r="A60" s="94"/>
      <c r="B60" s="94"/>
      <c r="E60" s="94"/>
      <c r="F60" s="94"/>
      <c r="M60" t="s">
        <v>25</v>
      </c>
      <c r="O60" s="97" t="s">
        <v>5068</v>
      </c>
      <c r="P60" s="18">
        <v>-3631879</v>
      </c>
      <c r="Q60" s="97">
        <v>3</v>
      </c>
      <c r="R60" s="97">
        <f t="shared" si="10"/>
        <v>823</v>
      </c>
      <c r="S60" s="97">
        <f t="shared" si="11"/>
        <v>-2989036417</v>
      </c>
      <c r="T60" s="97"/>
      <c r="U60" s="94"/>
      <c r="V60" s="94"/>
    </row>
    <row r="61" spans="1:32">
      <c r="A61" s="94"/>
      <c r="B61" s="94"/>
      <c r="E61" s="94"/>
      <c r="F61" s="94"/>
      <c r="M61" t="s">
        <v>25</v>
      </c>
      <c r="O61" s="97" t="s">
        <v>5093</v>
      </c>
      <c r="P61" s="18">
        <v>-2428921</v>
      </c>
      <c r="Q61" s="97">
        <v>9</v>
      </c>
      <c r="R61" s="97">
        <f t="shared" si="10"/>
        <v>820</v>
      </c>
      <c r="S61" s="97">
        <f t="shared" si="11"/>
        <v>-1991715220</v>
      </c>
      <c r="T61" s="97"/>
      <c r="U61" s="94"/>
      <c r="V61" s="94"/>
    </row>
    <row r="62" spans="1:32">
      <c r="A62" s="94"/>
      <c r="B62" s="94"/>
      <c r="E62" s="94"/>
      <c r="F62" s="94"/>
      <c r="O62" s="97" t="s">
        <v>5112</v>
      </c>
      <c r="P62" s="18">
        <v>-500000</v>
      </c>
      <c r="Q62" s="97">
        <v>1</v>
      </c>
      <c r="R62" s="97">
        <f t="shared" si="10"/>
        <v>811</v>
      </c>
      <c r="S62" s="97">
        <f t="shared" si="11"/>
        <v>-405500000</v>
      </c>
      <c r="T62" s="97"/>
      <c r="U62" s="94"/>
      <c r="V62" s="94"/>
    </row>
    <row r="63" spans="1:32">
      <c r="A63" s="94"/>
      <c r="B63" s="94" t="s">
        <v>4824</v>
      </c>
      <c r="C63" s="94" t="s">
        <v>4245</v>
      </c>
      <c r="D63" s="94" t="s">
        <v>4419</v>
      </c>
      <c r="E63" s="94" t="s">
        <v>5080</v>
      </c>
      <c r="F63" s="94" t="s">
        <v>5386</v>
      </c>
      <c r="O63" s="97" t="s">
        <v>5113</v>
      </c>
      <c r="P63" s="18">
        <v>-2603</v>
      </c>
      <c r="Q63" s="97">
        <v>0</v>
      </c>
      <c r="R63" s="97">
        <f t="shared" si="10"/>
        <v>810</v>
      </c>
      <c r="S63" s="97">
        <f t="shared" si="11"/>
        <v>-2108430</v>
      </c>
      <c r="T63" s="97" t="s">
        <v>5114</v>
      </c>
      <c r="U63" s="94"/>
      <c r="V63" s="94"/>
    </row>
    <row r="64" spans="1:32">
      <c r="A64" s="94" t="s">
        <v>4830</v>
      </c>
      <c r="B64" s="94">
        <v>6</v>
      </c>
      <c r="C64" s="94">
        <v>4125</v>
      </c>
      <c r="D64" s="94">
        <f>B64*C64</f>
        <v>24750</v>
      </c>
      <c r="E64" s="94">
        <v>3</v>
      </c>
      <c r="F64" s="94">
        <f>D64/E64</f>
        <v>8250</v>
      </c>
      <c r="O64" s="97" t="s">
        <v>5113</v>
      </c>
      <c r="P64" s="18">
        <v>-250000</v>
      </c>
      <c r="Q64" s="97">
        <v>7</v>
      </c>
      <c r="R64" s="97">
        <f t="shared" si="10"/>
        <v>810</v>
      </c>
      <c r="S64" s="97">
        <f t="shared" si="11"/>
        <v>-202500000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803</v>
      </c>
      <c r="S65" s="97">
        <f t="shared" si="11"/>
        <v>149156447</v>
      </c>
      <c r="T65" s="97"/>
      <c r="U65" s="94"/>
      <c r="V65" s="94"/>
    </row>
    <row r="66" spans="1:22">
      <c r="A66" s="94"/>
      <c r="B66" s="94"/>
      <c r="E66" s="94"/>
      <c r="F66" s="94"/>
      <c r="O66" s="97" t="s">
        <v>5127</v>
      </c>
      <c r="P66" s="18">
        <v>300000</v>
      </c>
      <c r="Q66" s="97">
        <v>3</v>
      </c>
      <c r="R66" s="97">
        <f t="shared" si="10"/>
        <v>798</v>
      </c>
      <c r="S66" s="97">
        <f t="shared" si="11"/>
        <v>239400000</v>
      </c>
      <c r="T66" s="97"/>
      <c r="U66" s="94"/>
      <c r="V66" s="94"/>
    </row>
    <row r="67" spans="1:22">
      <c r="A67" s="94"/>
      <c r="B67" s="94"/>
      <c r="E67" s="94"/>
      <c r="F67" s="94"/>
      <c r="O67" s="97" t="s">
        <v>5133</v>
      </c>
      <c r="P67" s="18">
        <v>-50000</v>
      </c>
      <c r="Q67" s="97">
        <v>3</v>
      </c>
      <c r="R67" s="97">
        <f t="shared" si="10"/>
        <v>795</v>
      </c>
      <c r="S67" s="97">
        <f t="shared" si="11"/>
        <v>-39750000</v>
      </c>
      <c r="T67" s="97"/>
      <c r="U67" s="94"/>
      <c r="V67" s="94"/>
    </row>
    <row r="68" spans="1:22">
      <c r="A68" s="94"/>
      <c r="B68" s="94"/>
      <c r="E68" s="94"/>
      <c r="F68" s="94"/>
      <c r="O68" s="97" t="s">
        <v>5138</v>
      </c>
      <c r="P68" s="18">
        <v>-1683146</v>
      </c>
      <c r="Q68" s="97">
        <v>10</v>
      </c>
      <c r="R68" s="97">
        <f t="shared" si="10"/>
        <v>792</v>
      </c>
      <c r="S68" s="97">
        <f t="shared" si="11"/>
        <v>-1333051632</v>
      </c>
      <c r="T68" s="97"/>
      <c r="U68" s="94"/>
      <c r="V68" s="94"/>
    </row>
    <row r="69" spans="1:22">
      <c r="A69" s="94"/>
      <c r="B69" s="94"/>
      <c r="E69" s="94"/>
      <c r="F69" s="94"/>
      <c r="O69" s="97" t="s">
        <v>5150</v>
      </c>
      <c r="P69" s="18">
        <v>700000</v>
      </c>
      <c r="Q69" s="97">
        <v>18</v>
      </c>
      <c r="R69" s="97">
        <f t="shared" si="10"/>
        <v>782</v>
      </c>
      <c r="S69" s="97">
        <f t="shared" si="11"/>
        <v>547400000</v>
      </c>
      <c r="T69" s="97"/>
      <c r="U69" s="94"/>
      <c r="V69" s="94"/>
    </row>
    <row r="70" spans="1:22">
      <c r="A70" s="94" t="s">
        <v>5786</v>
      </c>
      <c r="B70" s="94"/>
      <c r="E70" s="94"/>
      <c r="F70" s="94"/>
      <c r="K70" t="s">
        <v>25</v>
      </c>
      <c r="O70" s="97" t="s">
        <v>5163</v>
      </c>
      <c r="P70" s="18">
        <v>-700000</v>
      </c>
      <c r="Q70" s="97">
        <v>46</v>
      </c>
      <c r="R70" s="97">
        <f t="shared" si="10"/>
        <v>764</v>
      </c>
      <c r="S70" s="97">
        <f t="shared" si="11"/>
        <v>-534800000</v>
      </c>
      <c r="T70" s="97"/>
    </row>
    <row r="71" spans="1:22">
      <c r="A71" s="94" t="s">
        <v>5778</v>
      </c>
      <c r="B71" s="94"/>
      <c r="E71" s="94"/>
      <c r="F71" s="94"/>
      <c r="O71" s="97" t="s">
        <v>5213</v>
      </c>
      <c r="P71" s="18">
        <v>1000000</v>
      </c>
      <c r="Q71" s="97">
        <v>4</v>
      </c>
      <c r="R71" s="97">
        <f t="shared" si="10"/>
        <v>718</v>
      </c>
      <c r="S71" s="97">
        <f t="shared" si="11"/>
        <v>718000000</v>
      </c>
      <c r="T71" s="97"/>
    </row>
    <row r="72" spans="1:22">
      <c r="A72" s="94" t="s">
        <v>5779</v>
      </c>
      <c r="B72" s="94"/>
      <c r="E72" s="94"/>
      <c r="F72" s="94"/>
      <c r="O72" s="97" t="s">
        <v>5217</v>
      </c>
      <c r="P72" s="18">
        <v>1500000</v>
      </c>
      <c r="Q72" s="97">
        <v>1</v>
      </c>
      <c r="R72" s="97">
        <f t="shared" si="10"/>
        <v>714</v>
      </c>
      <c r="S72" s="97">
        <f t="shared" si="11"/>
        <v>1071000000</v>
      </c>
      <c r="T72" s="97"/>
    </row>
    <row r="73" spans="1:22">
      <c r="A73" t="s">
        <v>5787</v>
      </c>
      <c r="B73" s="94"/>
      <c r="E73" s="94"/>
      <c r="F73" s="94"/>
      <c r="O73" s="97" t="s">
        <v>5218</v>
      </c>
      <c r="P73" s="18">
        <v>-1500000</v>
      </c>
      <c r="Q73" s="97">
        <v>15</v>
      </c>
      <c r="R73" s="97">
        <f t="shared" si="10"/>
        <v>713</v>
      </c>
      <c r="S73" s="97">
        <f t="shared" si="11"/>
        <v>-1069500000</v>
      </c>
      <c r="T73" s="97"/>
    </row>
    <row r="74" spans="1:22">
      <c r="A74" t="s">
        <v>5483</v>
      </c>
      <c r="B74" s="94"/>
      <c r="E74" s="94"/>
      <c r="F74" s="94"/>
      <c r="O74" s="97" t="s">
        <v>5241</v>
      </c>
      <c r="P74" s="18">
        <v>-100000</v>
      </c>
      <c r="Q74" s="97">
        <v>5</v>
      </c>
      <c r="R74" s="97">
        <f t="shared" si="10"/>
        <v>698</v>
      </c>
      <c r="S74" s="97">
        <f t="shared" si="11"/>
        <v>-69800000</v>
      </c>
      <c r="T74" s="97"/>
    </row>
    <row r="75" spans="1:22">
      <c r="A75" s="94" t="s">
        <v>4832</v>
      </c>
      <c r="B75" s="94"/>
      <c r="E75" s="94"/>
      <c r="F75" s="94"/>
      <c r="O75" s="97" t="s">
        <v>5245</v>
      </c>
      <c r="P75" s="18">
        <v>1164690</v>
      </c>
      <c r="Q75" s="97">
        <v>4</v>
      </c>
      <c r="R75" s="97">
        <f t="shared" si="10"/>
        <v>693</v>
      </c>
      <c r="S75" s="97">
        <f t="shared" si="11"/>
        <v>807130170</v>
      </c>
      <c r="T75" s="97"/>
      <c r="U75" t="s">
        <v>25</v>
      </c>
    </row>
    <row r="76" spans="1:22">
      <c r="A76" s="94" t="s">
        <v>4831</v>
      </c>
      <c r="B76" s="94"/>
      <c r="E76" s="94"/>
      <c r="F76" s="94"/>
      <c r="O76" s="97" t="s">
        <v>5254</v>
      </c>
      <c r="P76" s="18">
        <v>1000000</v>
      </c>
      <c r="Q76" s="97">
        <v>4</v>
      </c>
      <c r="R76" s="97">
        <f t="shared" si="10"/>
        <v>689</v>
      </c>
      <c r="S76" s="97">
        <f t="shared" si="11"/>
        <v>689000000</v>
      </c>
      <c r="T76" s="97"/>
    </row>
    <row r="77" spans="1:22">
      <c r="A77" s="94" t="s">
        <v>5781</v>
      </c>
      <c r="B77" s="94"/>
      <c r="C77" s="94" t="s">
        <v>25</v>
      </c>
      <c r="E77" s="94"/>
      <c r="F77" s="94"/>
      <c r="O77" s="97" t="s">
        <v>5259</v>
      </c>
      <c r="P77" s="18">
        <v>-264690</v>
      </c>
      <c r="Q77" s="97">
        <v>7</v>
      </c>
      <c r="R77" s="97">
        <f t="shared" si="10"/>
        <v>685</v>
      </c>
      <c r="S77" s="97">
        <f t="shared" si="11"/>
        <v>-181312650</v>
      </c>
      <c r="T77" s="97"/>
    </row>
    <row r="78" spans="1:22">
      <c r="A78" s="94" t="s">
        <v>5782</v>
      </c>
      <c r="B78" s="94"/>
      <c r="E78" s="94"/>
      <c r="F78" s="94"/>
      <c r="O78" s="97" t="s">
        <v>5275</v>
      </c>
      <c r="P78" s="18">
        <v>2700000</v>
      </c>
      <c r="Q78" s="97">
        <v>0</v>
      </c>
      <c r="R78" s="97">
        <f t="shared" si="10"/>
        <v>678</v>
      </c>
      <c r="S78" s="97">
        <f t="shared" si="11"/>
        <v>1830600000</v>
      </c>
      <c r="T78" s="97"/>
    </row>
    <row r="79" spans="1:22">
      <c r="A79" t="s">
        <v>5798</v>
      </c>
      <c r="B79" s="94"/>
      <c r="E79" s="94"/>
      <c r="F79" s="94"/>
      <c r="N79" t="s">
        <v>25</v>
      </c>
      <c r="O79" s="97" t="s">
        <v>5275</v>
      </c>
      <c r="P79" s="18">
        <v>-1000000</v>
      </c>
      <c r="Q79" s="97">
        <v>1</v>
      </c>
      <c r="R79" s="97">
        <f t="shared" si="10"/>
        <v>678</v>
      </c>
      <c r="S79" s="97">
        <f t="shared" si="11"/>
        <v>-678000000</v>
      </c>
      <c r="T79" s="97" t="s">
        <v>5277</v>
      </c>
    </row>
    <row r="80" spans="1:22">
      <c r="A80" t="s">
        <v>4476</v>
      </c>
      <c r="B80" s="94"/>
      <c r="E80" s="94"/>
      <c r="F80" s="94"/>
      <c r="O80" s="97" t="s">
        <v>5279</v>
      </c>
      <c r="P80" s="18">
        <v>-75616</v>
      </c>
      <c r="Q80" s="97">
        <v>2</v>
      </c>
      <c r="R80" s="97">
        <f t="shared" si="10"/>
        <v>677</v>
      </c>
      <c r="S80" s="97">
        <f t="shared" si="11"/>
        <v>-51192032</v>
      </c>
      <c r="T80" s="97" t="s">
        <v>5280</v>
      </c>
    </row>
    <row r="81" spans="1:23">
      <c r="A81" s="94" t="s">
        <v>4503</v>
      </c>
      <c r="B81" s="94"/>
      <c r="E81" s="94"/>
      <c r="F81" s="94"/>
      <c r="O81" s="97" t="s">
        <v>961</v>
      </c>
      <c r="P81" s="18">
        <v>-2424384</v>
      </c>
      <c r="Q81" s="97">
        <v>2</v>
      </c>
      <c r="R81" s="97">
        <f t="shared" si="10"/>
        <v>675</v>
      </c>
      <c r="S81" s="97">
        <f t="shared" si="11"/>
        <v>-1636459200</v>
      </c>
      <c r="T81" s="97"/>
      <c r="W81" t="s">
        <v>25</v>
      </c>
    </row>
    <row r="82" spans="1:23">
      <c r="A82" s="94"/>
      <c r="B82" s="94"/>
      <c r="C82" s="94" t="s">
        <v>25</v>
      </c>
      <c r="E82" s="94"/>
      <c r="F82" s="94"/>
      <c r="O82" s="97" t="s">
        <v>5293</v>
      </c>
      <c r="P82" s="18">
        <v>-2000000</v>
      </c>
      <c r="Q82" s="97">
        <v>6</v>
      </c>
      <c r="R82" s="97">
        <f t="shared" si="10"/>
        <v>673</v>
      </c>
      <c r="S82" s="97">
        <f t="shared" si="11"/>
        <v>-1346000000</v>
      </c>
      <c r="T82" s="97"/>
    </row>
    <row r="83" spans="1:23">
      <c r="B83" s="94"/>
      <c r="E83" s="94"/>
      <c r="F83" s="94"/>
      <c r="O83" s="97" t="s">
        <v>5325</v>
      </c>
      <c r="P83" s="18">
        <v>2500000</v>
      </c>
      <c r="Q83" s="97">
        <v>1</v>
      </c>
      <c r="R83" s="97">
        <f t="shared" si="10"/>
        <v>667</v>
      </c>
      <c r="S83" s="97">
        <f t="shared" si="11"/>
        <v>1667500000</v>
      </c>
      <c r="T83" s="97"/>
    </row>
    <row r="84" spans="1:23">
      <c r="A84" s="94" t="s">
        <v>5780</v>
      </c>
      <c r="B84" s="94"/>
      <c r="E84" s="94"/>
      <c r="F84" s="94"/>
      <c r="M84" t="s">
        <v>25</v>
      </c>
      <c r="O84" s="97" t="s">
        <v>5328</v>
      </c>
      <c r="P84" s="18">
        <v>3000000</v>
      </c>
      <c r="Q84" s="97">
        <v>3</v>
      </c>
      <c r="R84" s="97">
        <f t="shared" si="10"/>
        <v>666</v>
      </c>
      <c r="S84" s="97">
        <f t="shared" si="11"/>
        <v>1998000000</v>
      </c>
      <c r="T84" s="97"/>
    </row>
    <row r="85" spans="1:23">
      <c r="A85" s="94" t="s">
        <v>5262</v>
      </c>
      <c r="B85" s="94"/>
      <c r="E85" s="94"/>
      <c r="F85" s="94"/>
      <c r="O85" s="97" t="s">
        <v>5334</v>
      </c>
      <c r="P85" s="18">
        <v>-300000</v>
      </c>
      <c r="Q85" s="97">
        <v>5</v>
      </c>
      <c r="R85" s="97">
        <f t="shared" si="10"/>
        <v>663</v>
      </c>
      <c r="S85" s="97">
        <f t="shared" si="11"/>
        <v>-198900000</v>
      </c>
      <c r="T85" s="97"/>
    </row>
    <row r="86" spans="1:23">
      <c r="A86" s="94" t="s">
        <v>5271</v>
      </c>
      <c r="B86" s="94"/>
      <c r="E86" s="94"/>
      <c r="F86" s="94"/>
      <c r="O86" s="97" t="s">
        <v>5345</v>
      </c>
      <c r="P86" s="18">
        <v>500000</v>
      </c>
      <c r="Q86" s="97">
        <v>1</v>
      </c>
      <c r="R86" s="97">
        <f t="shared" si="10"/>
        <v>658</v>
      </c>
      <c r="S86" s="97">
        <f t="shared" si="11"/>
        <v>329000000</v>
      </c>
      <c r="T86" s="97"/>
    </row>
    <row r="87" spans="1:23">
      <c r="A87" s="94" t="s">
        <v>5791</v>
      </c>
      <c r="B87" s="94"/>
      <c r="E87" s="94"/>
      <c r="F87" s="94"/>
      <c r="O87" s="97" t="s">
        <v>5347</v>
      </c>
      <c r="P87" s="18">
        <v>1000000</v>
      </c>
      <c r="Q87" s="97">
        <v>5</v>
      </c>
      <c r="R87" s="97">
        <f t="shared" si="10"/>
        <v>657</v>
      </c>
      <c r="S87" s="97">
        <f t="shared" si="11"/>
        <v>657000000</v>
      </c>
      <c r="T87" s="97"/>
    </row>
    <row r="88" spans="1:23">
      <c r="A88" s="94" t="s">
        <v>5276</v>
      </c>
      <c r="B88" s="94"/>
      <c r="E88" s="94"/>
      <c r="F88" s="94"/>
      <c r="O88" s="97" t="s">
        <v>5352</v>
      </c>
      <c r="P88" s="18">
        <v>-2700000</v>
      </c>
      <c r="Q88" s="97">
        <v>1</v>
      </c>
      <c r="R88" s="97">
        <f t="shared" si="10"/>
        <v>652</v>
      </c>
      <c r="S88" s="97">
        <f t="shared" si="11"/>
        <v>-1760400000</v>
      </c>
      <c r="T88" s="97"/>
    </row>
    <row r="89" spans="1:23">
      <c r="A89" s="94" t="s">
        <v>5792</v>
      </c>
      <c r="B89" s="94"/>
      <c r="E89" s="94"/>
      <c r="F89" s="94"/>
      <c r="O89" s="97" t="s">
        <v>5353</v>
      </c>
      <c r="P89" s="18">
        <v>-3600000</v>
      </c>
      <c r="Q89" s="97">
        <v>1</v>
      </c>
      <c r="R89" s="97">
        <f t="shared" si="10"/>
        <v>651</v>
      </c>
      <c r="S89" s="97">
        <f t="shared" si="11"/>
        <v>-2343600000</v>
      </c>
      <c r="T89" s="97"/>
    </row>
    <row r="90" spans="1:23">
      <c r="A90" s="94" t="s">
        <v>5793</v>
      </c>
      <c r="B90" s="94"/>
      <c r="E90" s="94"/>
      <c r="F90" s="94"/>
      <c r="O90" s="97" t="s">
        <v>985</v>
      </c>
      <c r="P90" s="18">
        <v>-400000</v>
      </c>
      <c r="Q90" s="97">
        <v>17</v>
      </c>
      <c r="R90" s="97">
        <f t="shared" si="10"/>
        <v>650</v>
      </c>
      <c r="S90" s="97">
        <f t="shared" si="11"/>
        <v>-260000000</v>
      </c>
      <c r="T90" s="97"/>
    </row>
    <row r="91" spans="1:23">
      <c r="A91" s="94" t="s">
        <v>5794</v>
      </c>
      <c r="B91" s="94"/>
      <c r="E91" s="94"/>
      <c r="F91" s="94"/>
      <c r="M91" t="s">
        <v>25</v>
      </c>
      <c r="O91" s="97" t="s">
        <v>5373</v>
      </c>
      <c r="P91" s="18">
        <v>1000000</v>
      </c>
      <c r="Q91" s="97">
        <v>20</v>
      </c>
      <c r="R91" s="97">
        <f t="shared" si="10"/>
        <v>633</v>
      </c>
      <c r="S91" s="97">
        <f t="shared" si="11"/>
        <v>633000000</v>
      </c>
      <c r="T91" s="97"/>
    </row>
    <row r="92" spans="1:23">
      <c r="A92" s="94" t="s">
        <v>4478</v>
      </c>
      <c r="B92" s="94"/>
      <c r="E92" s="94"/>
      <c r="F92" s="94"/>
      <c r="O92" s="97" t="s">
        <v>5392</v>
      </c>
      <c r="P92" s="18">
        <v>-1000000</v>
      </c>
      <c r="Q92" s="97">
        <v>25</v>
      </c>
      <c r="R92" s="97">
        <f t="shared" si="10"/>
        <v>613</v>
      </c>
      <c r="S92" s="97">
        <f t="shared" si="11"/>
        <v>-613000000</v>
      </c>
      <c r="T92" s="97"/>
    </row>
    <row r="93" spans="1:23">
      <c r="A93" s="94" t="s">
        <v>4554</v>
      </c>
      <c r="B93" s="94" t="s">
        <v>25</v>
      </c>
      <c r="E93" s="94"/>
      <c r="F93" s="94"/>
      <c r="O93" s="97" t="s">
        <v>5421</v>
      </c>
      <c r="P93" s="18">
        <v>300000</v>
      </c>
      <c r="Q93" s="97">
        <v>3</v>
      </c>
      <c r="R93" s="97">
        <f t="shared" si="10"/>
        <v>588</v>
      </c>
      <c r="S93" s="97">
        <f t="shared" si="11"/>
        <v>176400000</v>
      </c>
      <c r="T93" s="97"/>
    </row>
    <row r="94" spans="1:23">
      <c r="A94" s="94" t="s">
        <v>4709</v>
      </c>
      <c r="B94" s="94"/>
      <c r="E94" s="94"/>
      <c r="F94" s="94"/>
      <c r="O94" s="97" t="s">
        <v>5426</v>
      </c>
      <c r="P94" s="18">
        <v>-300000</v>
      </c>
      <c r="Q94" s="97">
        <v>9</v>
      </c>
      <c r="R94" s="97">
        <f t="shared" si="10"/>
        <v>585</v>
      </c>
      <c r="S94" s="97">
        <f t="shared" si="11"/>
        <v>-175500000</v>
      </c>
      <c r="T94" s="97"/>
    </row>
    <row r="95" spans="1:23">
      <c r="A95" s="94" t="s">
        <v>4653</v>
      </c>
      <c r="B95" s="94"/>
      <c r="E95" s="94"/>
      <c r="F95" s="94"/>
      <c r="O95" s="97" t="s">
        <v>5441</v>
      </c>
      <c r="P95" s="18">
        <v>1000000</v>
      </c>
      <c r="Q95" s="97">
        <v>24</v>
      </c>
      <c r="R95" s="97">
        <f t="shared" si="10"/>
        <v>576</v>
      </c>
      <c r="S95" s="97">
        <f t="shared" si="11"/>
        <v>576000000</v>
      </c>
      <c r="T95" s="97"/>
      <c r="W95" t="s">
        <v>25</v>
      </c>
    </row>
    <row r="96" spans="1:23">
      <c r="A96" s="94"/>
      <c r="B96" s="94"/>
      <c r="E96" s="94"/>
      <c r="F96" s="94"/>
      <c r="L96" s="112"/>
      <c r="O96" s="97" t="s">
        <v>5478</v>
      </c>
      <c r="P96" s="18">
        <v>-1380100</v>
      </c>
      <c r="Q96" s="97">
        <v>11</v>
      </c>
      <c r="R96" s="97">
        <f t="shared" si="10"/>
        <v>552</v>
      </c>
      <c r="S96" s="97">
        <f t="shared" si="11"/>
        <v>-761815200</v>
      </c>
      <c r="T96" s="97"/>
    </row>
    <row r="97" spans="1:28">
      <c r="A97" s="94"/>
      <c r="B97" s="94"/>
      <c r="E97" s="94"/>
      <c r="F97" s="94"/>
      <c r="O97" s="97" t="s">
        <v>5492</v>
      </c>
      <c r="P97" s="18">
        <v>1280015</v>
      </c>
      <c r="Q97" s="97">
        <v>0</v>
      </c>
      <c r="R97" s="97">
        <f t="shared" ref="R97:R144" si="16">Q97+R98</f>
        <v>541</v>
      </c>
      <c r="S97" s="97">
        <f t="shared" ref="S97:S144" si="17">P97*R97</f>
        <v>692488115</v>
      </c>
      <c r="T97" s="97"/>
    </row>
    <row r="98" spans="1:28">
      <c r="B98" s="94"/>
      <c r="E98" s="94"/>
      <c r="F98" s="94"/>
      <c r="M98" t="s">
        <v>25</v>
      </c>
      <c r="O98" s="97" t="s">
        <v>5492</v>
      </c>
      <c r="P98" s="18">
        <v>300000</v>
      </c>
      <c r="Q98" s="97">
        <v>7</v>
      </c>
      <c r="R98" s="97">
        <f t="shared" si="16"/>
        <v>541</v>
      </c>
      <c r="S98" s="97">
        <f t="shared" si="17"/>
        <v>162300000</v>
      </c>
      <c r="T98" s="97"/>
    </row>
    <row r="99" spans="1:28">
      <c r="A99" s="94" t="s">
        <v>5785</v>
      </c>
      <c r="E99" s="94"/>
      <c r="F99" s="94"/>
      <c r="O99" s="97" t="s">
        <v>5499</v>
      </c>
      <c r="P99" s="18">
        <v>3000000</v>
      </c>
      <c r="Q99" s="97">
        <v>3</v>
      </c>
      <c r="R99" s="97">
        <f t="shared" si="16"/>
        <v>534</v>
      </c>
      <c r="S99" s="97">
        <f t="shared" si="17"/>
        <v>1602000000</v>
      </c>
      <c r="T99" s="97"/>
      <c r="AB99" t="s">
        <v>25</v>
      </c>
    </row>
    <row r="100" spans="1:28">
      <c r="A100" s="94" t="s">
        <v>5783</v>
      </c>
      <c r="E100" s="94"/>
      <c r="F100" s="94"/>
      <c r="O100" s="97" t="s">
        <v>5517</v>
      </c>
      <c r="P100" s="18">
        <v>300000</v>
      </c>
      <c r="Q100" s="97">
        <v>8</v>
      </c>
      <c r="R100" s="97">
        <f t="shared" si="16"/>
        <v>531</v>
      </c>
      <c r="S100" s="97">
        <f t="shared" si="17"/>
        <v>159300000</v>
      </c>
      <c r="T100" s="97"/>
    </row>
    <row r="101" spans="1:28">
      <c r="A101" s="94" t="s">
        <v>5784</v>
      </c>
      <c r="E101" s="94"/>
      <c r="F101" s="94"/>
      <c r="O101" s="97" t="s">
        <v>5538</v>
      </c>
      <c r="P101" s="18">
        <v>-3500000</v>
      </c>
      <c r="Q101" s="97">
        <v>6</v>
      </c>
      <c r="R101" s="97">
        <f t="shared" si="16"/>
        <v>523</v>
      </c>
      <c r="S101" s="97">
        <f t="shared" si="17"/>
        <v>-1830500000</v>
      </c>
      <c r="T101" s="97"/>
    </row>
    <row r="102" spans="1:28">
      <c r="A102" s="94" t="s">
        <v>5795</v>
      </c>
      <c r="E102" s="94"/>
      <c r="F102" s="94"/>
      <c r="O102" s="97" t="s">
        <v>5543</v>
      </c>
      <c r="P102" s="18">
        <v>-70000</v>
      </c>
      <c r="Q102" s="97">
        <v>1</v>
      </c>
      <c r="R102" s="97">
        <f t="shared" si="16"/>
        <v>517</v>
      </c>
      <c r="S102" s="97">
        <f t="shared" si="17"/>
        <v>-36190000</v>
      </c>
      <c r="T102" s="97"/>
    </row>
    <row r="103" spans="1:28">
      <c r="A103" s="94" t="s">
        <v>5796</v>
      </c>
      <c r="E103" s="94"/>
      <c r="F103" s="94"/>
      <c r="O103" s="97" t="s">
        <v>5547</v>
      </c>
      <c r="P103" s="18">
        <v>70085</v>
      </c>
      <c r="Q103" s="97">
        <v>7</v>
      </c>
      <c r="R103" s="97">
        <f t="shared" si="16"/>
        <v>516</v>
      </c>
      <c r="S103" s="97">
        <f t="shared" si="17"/>
        <v>36163860</v>
      </c>
      <c r="T103" s="97" t="s">
        <v>5548</v>
      </c>
    </row>
    <row r="104" spans="1:28">
      <c r="A104" s="94" t="s">
        <v>5797</v>
      </c>
      <c r="O104" s="97" t="s">
        <v>5554</v>
      </c>
      <c r="P104" s="18">
        <v>-1000000</v>
      </c>
      <c r="Q104" s="97">
        <v>31</v>
      </c>
      <c r="R104" s="97">
        <f t="shared" si="16"/>
        <v>509</v>
      </c>
      <c r="S104" s="97">
        <f t="shared" si="17"/>
        <v>-509000000</v>
      </c>
      <c r="T104" s="97"/>
    </row>
    <row r="105" spans="1:28">
      <c r="A105" s="94"/>
      <c r="O105" s="97" t="s">
        <v>5582</v>
      </c>
      <c r="P105" s="18">
        <v>6000000</v>
      </c>
      <c r="Q105" s="97">
        <v>1</v>
      </c>
      <c r="R105" s="97">
        <f t="shared" si="16"/>
        <v>478</v>
      </c>
      <c r="S105" s="97">
        <f t="shared" si="17"/>
        <v>2868000000</v>
      </c>
      <c r="T105" s="97"/>
      <c r="U105" t="s">
        <v>25</v>
      </c>
    </row>
    <row r="106" spans="1:28">
      <c r="A106" s="94" t="s">
        <v>5788</v>
      </c>
      <c r="O106" s="97" t="s">
        <v>5583</v>
      </c>
      <c r="P106" s="18">
        <v>6000000</v>
      </c>
      <c r="Q106" s="97">
        <v>11</v>
      </c>
      <c r="R106" s="97">
        <f t="shared" si="16"/>
        <v>477</v>
      </c>
      <c r="S106" s="97">
        <f t="shared" si="17"/>
        <v>2862000000</v>
      </c>
      <c r="T106" s="97"/>
    </row>
    <row r="107" spans="1:28">
      <c r="A107" t="s">
        <v>5789</v>
      </c>
      <c r="O107" s="97" t="s">
        <v>5598</v>
      </c>
      <c r="P107" s="18">
        <v>48000000</v>
      </c>
      <c r="Q107" s="97">
        <v>8</v>
      </c>
      <c r="R107" s="97">
        <f t="shared" si="16"/>
        <v>466</v>
      </c>
      <c r="S107" s="97">
        <f t="shared" si="17"/>
        <v>22368000000</v>
      </c>
      <c r="T107" s="97"/>
    </row>
    <row r="108" spans="1:28">
      <c r="A108" s="94" t="s">
        <v>5790</v>
      </c>
      <c r="O108" s="97" t="s">
        <v>5615</v>
      </c>
      <c r="P108" s="18">
        <v>-400000</v>
      </c>
      <c r="Q108" s="97">
        <v>23</v>
      </c>
      <c r="R108" s="97">
        <f t="shared" si="16"/>
        <v>458</v>
      </c>
      <c r="S108" s="97">
        <f t="shared" si="17"/>
        <v>-183200000</v>
      </c>
      <c r="T108" s="97"/>
    </row>
    <row r="109" spans="1:28">
      <c r="A109" s="94"/>
      <c r="O109" s="97" t="s">
        <v>5651</v>
      </c>
      <c r="P109" s="18">
        <v>500000</v>
      </c>
      <c r="Q109" s="97">
        <v>4</v>
      </c>
      <c r="R109" s="97">
        <f t="shared" si="16"/>
        <v>435</v>
      </c>
      <c r="S109" s="97">
        <f t="shared" si="17"/>
        <v>217500000</v>
      </c>
      <c r="T109" s="97"/>
    </row>
    <row r="110" spans="1:28">
      <c r="O110" s="97" t="s">
        <v>5655</v>
      </c>
      <c r="P110" s="18">
        <v>-500000</v>
      </c>
      <c r="Q110" s="97">
        <v>48</v>
      </c>
      <c r="R110" s="97">
        <f t="shared" si="16"/>
        <v>431</v>
      </c>
      <c r="S110" s="97">
        <f t="shared" si="17"/>
        <v>-215500000</v>
      </c>
      <c r="T110" s="97"/>
      <c r="V110" t="s">
        <v>25</v>
      </c>
    </row>
    <row r="111" spans="1:28">
      <c r="A111" s="94"/>
      <c r="O111" s="97" t="s">
        <v>5710</v>
      </c>
      <c r="P111" s="18">
        <v>2000000</v>
      </c>
      <c r="Q111" s="97">
        <v>11</v>
      </c>
      <c r="R111" s="97">
        <f t="shared" si="16"/>
        <v>383</v>
      </c>
      <c r="S111" s="97">
        <f t="shared" si="17"/>
        <v>766000000</v>
      </c>
      <c r="T111" s="97"/>
    </row>
    <row r="112" spans="1:28">
      <c r="A112" s="94"/>
      <c r="O112" s="97" t="s">
        <v>5720</v>
      </c>
      <c r="P112" s="18">
        <v>-2000000</v>
      </c>
      <c r="Q112" s="97">
        <v>1</v>
      </c>
      <c r="R112" s="97">
        <f t="shared" si="16"/>
        <v>372</v>
      </c>
      <c r="S112" s="97">
        <f t="shared" si="17"/>
        <v>-744000000</v>
      </c>
      <c r="T112" s="97"/>
      <c r="V112" t="s">
        <v>25</v>
      </c>
    </row>
    <row r="113" spans="1:25">
      <c r="O113" s="97" t="s">
        <v>5721</v>
      </c>
      <c r="P113" s="18">
        <v>-42203</v>
      </c>
      <c r="Q113" s="97">
        <v>2</v>
      </c>
      <c r="R113" s="97">
        <f t="shared" si="16"/>
        <v>371</v>
      </c>
      <c r="S113" s="97">
        <f t="shared" si="17"/>
        <v>-15657313</v>
      </c>
      <c r="T113" s="97" t="s">
        <v>5725</v>
      </c>
    </row>
    <row r="114" spans="1:25">
      <c r="A114" s="94"/>
      <c r="O114" s="97" t="s">
        <v>5727</v>
      </c>
      <c r="P114" s="18">
        <v>-365000</v>
      </c>
      <c r="Q114" s="97">
        <v>5</v>
      </c>
      <c r="R114" s="97">
        <f t="shared" si="16"/>
        <v>369</v>
      </c>
      <c r="S114" s="97">
        <f t="shared" si="17"/>
        <v>-134685000</v>
      </c>
      <c r="T114" s="97" t="s">
        <v>5728</v>
      </c>
    </row>
    <row r="115" spans="1:25">
      <c r="A115" s="94"/>
      <c r="O115" s="97" t="s">
        <v>5733</v>
      </c>
      <c r="P115" s="18">
        <v>12000000</v>
      </c>
      <c r="Q115" s="97">
        <v>9</v>
      </c>
      <c r="R115" s="97">
        <f t="shared" si="16"/>
        <v>364</v>
      </c>
      <c r="S115" s="97">
        <f t="shared" si="17"/>
        <v>4368000000</v>
      </c>
      <c r="T115" s="97" t="s">
        <v>5734</v>
      </c>
      <c r="Y115" t="s">
        <v>25</v>
      </c>
    </row>
    <row r="116" spans="1:25">
      <c r="M116" t="s">
        <v>25</v>
      </c>
      <c r="O116" s="97" t="s">
        <v>5743</v>
      </c>
      <c r="P116" s="18">
        <v>-4000000</v>
      </c>
      <c r="Q116" s="97">
        <v>1</v>
      </c>
      <c r="R116" s="97">
        <f t="shared" si="16"/>
        <v>355</v>
      </c>
      <c r="S116" s="97">
        <f t="shared" si="17"/>
        <v>-1420000000</v>
      </c>
      <c r="T116" s="97"/>
    </row>
    <row r="117" spans="1:25">
      <c r="O117" s="97" t="s">
        <v>5747</v>
      </c>
      <c r="P117" s="18">
        <v>-5000000</v>
      </c>
      <c r="Q117" s="97">
        <v>2</v>
      </c>
      <c r="R117" s="97">
        <f>Q117+R118</f>
        <v>354</v>
      </c>
      <c r="S117" s="97">
        <f t="shared" si="17"/>
        <v>-1770000000</v>
      </c>
      <c r="T117" s="97"/>
    </row>
    <row r="118" spans="1:25">
      <c r="O118" s="97" t="s">
        <v>5745</v>
      </c>
      <c r="P118" s="18">
        <v>-2500000</v>
      </c>
      <c r="Q118" s="97">
        <v>1</v>
      </c>
      <c r="R118" s="97">
        <f t="shared" si="16"/>
        <v>352</v>
      </c>
      <c r="S118" s="97">
        <f t="shared" si="17"/>
        <v>-880000000</v>
      </c>
      <c r="T118" s="97"/>
    </row>
    <row r="119" spans="1:25">
      <c r="O119" s="97" t="s">
        <v>5746</v>
      </c>
      <c r="P119" s="18">
        <v>-500000</v>
      </c>
      <c r="Q119" s="97">
        <v>17</v>
      </c>
      <c r="R119" s="97">
        <f t="shared" si="16"/>
        <v>351</v>
      </c>
      <c r="S119" s="97">
        <f t="shared" si="17"/>
        <v>-175500000</v>
      </c>
      <c r="T119" s="97"/>
    </row>
    <row r="120" spans="1:25">
      <c r="O120" s="97" t="s">
        <v>5748</v>
      </c>
      <c r="P120" s="18">
        <v>-192797</v>
      </c>
      <c r="Q120" s="97">
        <v>15</v>
      </c>
      <c r="R120" s="97">
        <f t="shared" si="16"/>
        <v>334</v>
      </c>
      <c r="S120" s="97">
        <f t="shared" si="17"/>
        <v>-64394198</v>
      </c>
      <c r="T120" s="97"/>
    </row>
    <row r="121" spans="1:25">
      <c r="O121" s="97" t="s">
        <v>5753</v>
      </c>
      <c r="P121" s="18">
        <v>2000000</v>
      </c>
      <c r="Q121" s="97">
        <v>12</v>
      </c>
      <c r="R121" s="97">
        <f t="shared" si="16"/>
        <v>319</v>
      </c>
      <c r="S121" s="97">
        <f t="shared" si="17"/>
        <v>638000000</v>
      </c>
      <c r="T121" s="97"/>
    </row>
    <row r="122" spans="1:25">
      <c r="N122" t="s">
        <v>25</v>
      </c>
      <c r="O122" s="97" t="s">
        <v>5760</v>
      </c>
      <c r="P122" s="18">
        <v>-2000000</v>
      </c>
      <c r="Q122" s="97">
        <v>0</v>
      </c>
      <c r="R122" s="97">
        <f t="shared" si="16"/>
        <v>307</v>
      </c>
      <c r="S122" s="97">
        <f t="shared" si="17"/>
        <v>-614000000</v>
      </c>
      <c r="T122" s="97"/>
    </row>
    <row r="123" spans="1:25">
      <c r="O123" s="97" t="s">
        <v>5760</v>
      </c>
      <c r="P123" s="18">
        <v>-4000000</v>
      </c>
      <c r="Q123" s="97">
        <v>1</v>
      </c>
      <c r="R123" s="97">
        <f t="shared" si="16"/>
        <v>307</v>
      </c>
      <c r="S123" s="97">
        <f t="shared" si="17"/>
        <v>-1228000000</v>
      </c>
      <c r="T123" s="97"/>
    </row>
    <row r="124" spans="1:25">
      <c r="O124" s="97" t="s">
        <v>5761</v>
      </c>
      <c r="P124" s="18">
        <v>-3000000</v>
      </c>
      <c r="Q124" s="97">
        <v>3</v>
      </c>
      <c r="R124" s="97">
        <f t="shared" si="16"/>
        <v>306</v>
      </c>
      <c r="S124" s="97">
        <f t="shared" si="17"/>
        <v>-918000000</v>
      </c>
      <c r="T124" s="97"/>
    </row>
    <row r="125" spans="1:25">
      <c r="O125" s="97" t="s">
        <v>5768</v>
      </c>
      <c r="P125" s="18">
        <v>-6000000</v>
      </c>
      <c r="Q125" s="97">
        <v>1</v>
      </c>
      <c r="R125" s="97">
        <f t="shared" si="16"/>
        <v>303</v>
      </c>
      <c r="S125" s="97">
        <f t="shared" si="17"/>
        <v>-1818000000</v>
      </c>
      <c r="T125" s="97"/>
    </row>
    <row r="126" spans="1:25">
      <c r="O126" s="97" t="s">
        <v>5771</v>
      </c>
      <c r="P126" s="18">
        <v>-10000000</v>
      </c>
      <c r="Q126" s="97">
        <v>0</v>
      </c>
      <c r="R126" s="97">
        <f t="shared" si="16"/>
        <v>302</v>
      </c>
      <c r="S126" s="97">
        <f t="shared" si="17"/>
        <v>-3020000000</v>
      </c>
      <c r="T126" s="97"/>
    </row>
    <row r="127" spans="1:25">
      <c r="O127" s="97" t="s">
        <v>5771</v>
      </c>
      <c r="P127" s="18">
        <v>-5500000</v>
      </c>
      <c r="Q127" s="97">
        <v>1</v>
      </c>
      <c r="R127" s="97">
        <f t="shared" si="16"/>
        <v>302</v>
      </c>
      <c r="S127" s="97">
        <f t="shared" si="17"/>
        <v>-1661000000</v>
      </c>
      <c r="T127" s="97"/>
    </row>
    <row r="128" spans="1:25">
      <c r="O128" s="97" t="s">
        <v>5772</v>
      </c>
      <c r="P128" s="18">
        <v>-1500000</v>
      </c>
      <c r="Q128" s="97">
        <v>9</v>
      </c>
      <c r="R128" s="97">
        <f t="shared" si="16"/>
        <v>301</v>
      </c>
      <c r="S128" s="97">
        <f t="shared" si="17"/>
        <v>-451500000</v>
      </c>
      <c r="T128" s="97"/>
    </row>
    <row r="129" spans="1:23">
      <c r="O129" s="97" t="s">
        <v>5799</v>
      </c>
      <c r="P129" s="18">
        <v>-22545000</v>
      </c>
      <c r="Q129" s="97">
        <v>18</v>
      </c>
      <c r="R129" s="97">
        <f t="shared" si="16"/>
        <v>292</v>
      </c>
      <c r="S129" s="97">
        <f t="shared" si="17"/>
        <v>-6583140000</v>
      </c>
      <c r="T129" s="97" t="s">
        <v>5803</v>
      </c>
    </row>
    <row r="130" spans="1:23">
      <c r="O130" s="97" t="s">
        <v>5810</v>
      </c>
      <c r="P130" s="18">
        <v>5000000</v>
      </c>
      <c r="Q130" s="97">
        <v>9</v>
      </c>
      <c r="R130" s="97">
        <f t="shared" si="16"/>
        <v>274</v>
      </c>
      <c r="S130" s="97">
        <f t="shared" si="17"/>
        <v>1370000000</v>
      </c>
      <c r="T130" s="97"/>
    </row>
    <row r="131" spans="1:23">
      <c r="O131" s="97" t="s">
        <v>5814</v>
      </c>
      <c r="P131" s="18">
        <v>3000000</v>
      </c>
      <c r="Q131" s="97">
        <v>0</v>
      </c>
      <c r="R131" s="97">
        <f t="shared" si="16"/>
        <v>265</v>
      </c>
      <c r="S131" s="97">
        <f t="shared" si="17"/>
        <v>795000000</v>
      </c>
      <c r="T131" s="97"/>
      <c r="W131" t="s">
        <v>25</v>
      </c>
    </row>
    <row r="132" spans="1:23">
      <c r="O132" s="97" t="s">
        <v>5814</v>
      </c>
      <c r="P132" s="18">
        <v>-3000000</v>
      </c>
      <c r="Q132" s="97">
        <v>1</v>
      </c>
      <c r="R132" s="97">
        <f t="shared" si="16"/>
        <v>265</v>
      </c>
      <c r="S132" s="97">
        <f t="shared" si="17"/>
        <v>-795000000</v>
      </c>
      <c r="T132" s="97"/>
    </row>
    <row r="133" spans="1:23">
      <c r="O133" s="97" t="s">
        <v>5815</v>
      </c>
      <c r="P133" s="18">
        <v>-11455000</v>
      </c>
      <c r="Q133" s="97">
        <v>14</v>
      </c>
      <c r="R133" s="97">
        <f t="shared" si="16"/>
        <v>264</v>
      </c>
      <c r="S133" s="97">
        <f t="shared" si="17"/>
        <v>-3024120000</v>
      </c>
      <c r="T133" s="97"/>
    </row>
    <row r="134" spans="1:23">
      <c r="A134" s="290" t="s">
        <v>180</v>
      </c>
      <c r="B134" s="291" t="s">
        <v>5836</v>
      </c>
      <c r="C134" s="32" t="s">
        <v>5837</v>
      </c>
      <c r="D134" s="32" t="s">
        <v>5838</v>
      </c>
      <c r="E134" s="32" t="s">
        <v>5839</v>
      </c>
      <c r="F134" s="32" t="s">
        <v>5840</v>
      </c>
      <c r="G134" s="32" t="s">
        <v>5309</v>
      </c>
      <c r="H134" s="32" t="s">
        <v>5841</v>
      </c>
      <c r="I134" s="276" t="s">
        <v>5842</v>
      </c>
      <c r="O134" s="97" t="s">
        <v>6389</v>
      </c>
      <c r="P134" s="18">
        <v>2317100</v>
      </c>
      <c r="Q134" s="97">
        <v>3</v>
      </c>
      <c r="R134" s="97">
        <f t="shared" si="16"/>
        <v>250</v>
      </c>
      <c r="S134" s="97">
        <f t="shared" si="17"/>
        <v>579275000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6390</v>
      </c>
      <c r="P135" s="18">
        <v>699000</v>
      </c>
      <c r="Q135" s="97">
        <v>3</v>
      </c>
      <c r="R135" s="97">
        <f t="shared" si="16"/>
        <v>247</v>
      </c>
      <c r="S135" s="97">
        <f t="shared" si="17"/>
        <v>172653000</v>
      </c>
      <c r="T135" s="97"/>
    </row>
    <row r="136" spans="1:23">
      <c r="A136" s="290" t="s">
        <v>4734</v>
      </c>
      <c r="B136" s="18"/>
      <c r="C136" s="18"/>
      <c r="D136" s="18"/>
      <c r="E136" s="18"/>
      <c r="F136" s="32">
        <f>F135+I136</f>
        <v>419590.64327485382</v>
      </c>
      <c r="G136" s="32">
        <v>25</v>
      </c>
      <c r="H136" s="32">
        <v>180</v>
      </c>
      <c r="I136" s="296">
        <f>G136*F135/H136</f>
        <v>51169.59064327486</v>
      </c>
      <c r="O136" s="97" t="s">
        <v>6392</v>
      </c>
      <c r="P136" s="18">
        <v>-1016100</v>
      </c>
      <c r="Q136" s="97">
        <v>5</v>
      </c>
      <c r="R136" s="97">
        <f t="shared" si="16"/>
        <v>244</v>
      </c>
      <c r="S136" s="97">
        <f t="shared" si="17"/>
        <v>-247928400</v>
      </c>
      <c r="T136" s="97"/>
    </row>
    <row r="137" spans="1:23">
      <c r="A137" s="290" t="s">
        <v>5412</v>
      </c>
      <c r="B137" s="18"/>
      <c r="C137" s="18"/>
      <c r="D137" s="18"/>
      <c r="E137" s="18"/>
      <c r="F137" s="32">
        <f>F136+I137</f>
        <v>441232.68698060943</v>
      </c>
      <c r="G137" s="32">
        <v>49</v>
      </c>
      <c r="H137" s="32">
        <v>950</v>
      </c>
      <c r="I137" s="296">
        <f>F136*G137/H137</f>
        <v>21642.043705755616</v>
      </c>
      <c r="O137" s="97" t="s">
        <v>6399</v>
      </c>
      <c r="P137" s="18">
        <v>-680000</v>
      </c>
      <c r="Q137" s="97">
        <v>3</v>
      </c>
      <c r="R137" s="97">
        <f t="shared" si="16"/>
        <v>239</v>
      </c>
      <c r="S137" s="97">
        <f t="shared" si="17"/>
        <v>-162520000</v>
      </c>
      <c r="T137" s="97"/>
    </row>
    <row r="138" spans="1:23">
      <c r="A138" s="290" t="s">
        <v>5814</v>
      </c>
      <c r="B138" s="18"/>
      <c r="C138" s="18"/>
      <c r="D138" s="18"/>
      <c r="E138" s="18"/>
      <c r="F138" s="32">
        <f>F137+I138</f>
        <v>473322.33694283559</v>
      </c>
      <c r="G138" s="32">
        <v>80</v>
      </c>
      <c r="H138" s="32">
        <v>1100</v>
      </c>
      <c r="I138" s="296">
        <f>F137*G138/H138</f>
        <v>32089.64996222614</v>
      </c>
      <c r="O138" s="97" t="s">
        <v>6400</v>
      </c>
      <c r="P138" s="18">
        <v>-216000</v>
      </c>
      <c r="Q138" s="97">
        <v>3</v>
      </c>
      <c r="R138" s="97">
        <f t="shared" si="16"/>
        <v>236</v>
      </c>
      <c r="S138" s="97">
        <f t="shared" si="17"/>
        <v>-50976000</v>
      </c>
      <c r="T138" s="97"/>
    </row>
    <row r="139" spans="1:23">
      <c r="A139" s="9"/>
      <c r="B139" s="18"/>
      <c r="O139" s="97" t="s">
        <v>6401</v>
      </c>
      <c r="P139" s="18">
        <v>-619000</v>
      </c>
      <c r="Q139" s="97">
        <v>3</v>
      </c>
      <c r="R139" s="97">
        <f t="shared" si="16"/>
        <v>233</v>
      </c>
      <c r="S139" s="97">
        <f t="shared" si="17"/>
        <v>-144227000</v>
      </c>
      <c r="T139" s="97"/>
    </row>
    <row r="140" spans="1:23" ht="30">
      <c r="A140" s="290"/>
      <c r="B140" s="292" t="s">
        <v>5843</v>
      </c>
      <c r="C140" s="18"/>
      <c r="D140" s="18" t="s">
        <v>5844</v>
      </c>
      <c r="E140" s="18"/>
      <c r="F140" s="18" t="s">
        <v>5845</v>
      </c>
      <c r="G140" s="32"/>
      <c r="H140" s="32"/>
      <c r="I140" s="206"/>
      <c r="O140" s="144" t="s">
        <v>6409</v>
      </c>
      <c r="P140" s="238">
        <v>-485000</v>
      </c>
      <c r="Q140" s="144">
        <v>11</v>
      </c>
      <c r="R140" s="97">
        <f t="shared" si="16"/>
        <v>230</v>
      </c>
      <c r="S140" s="97">
        <f t="shared" si="17"/>
        <v>-111550000</v>
      </c>
      <c r="T140" s="381" t="s">
        <v>6626</v>
      </c>
      <c r="V140" t="s">
        <v>25</v>
      </c>
    </row>
    <row r="141" spans="1:23">
      <c r="A141" s="290" t="s">
        <v>5835</v>
      </c>
      <c r="B141" s="292">
        <v>260000000</v>
      </c>
      <c r="C141" s="18"/>
      <c r="D141" s="293">
        <f>10440000*D135</f>
        <v>166090909.09090909</v>
      </c>
      <c r="E141" s="18"/>
      <c r="F141" s="295">
        <f>1066*F138</f>
        <v>504561611.18106276</v>
      </c>
      <c r="G141" s="32"/>
      <c r="H141" s="32"/>
      <c r="I141" s="206"/>
      <c r="O141" s="97" t="s">
        <v>6418</v>
      </c>
      <c r="P141" s="18">
        <v>3000000</v>
      </c>
      <c r="Q141" s="97">
        <v>1</v>
      </c>
      <c r="R141" s="97">
        <f t="shared" si="16"/>
        <v>219</v>
      </c>
      <c r="S141" s="97">
        <f t="shared" si="17"/>
        <v>657000000</v>
      </c>
      <c r="T141" s="97"/>
    </row>
    <row r="142" spans="1:23">
      <c r="A142" s="94"/>
      <c r="B142" s="94"/>
      <c r="E142" s="94"/>
      <c r="F142" s="94"/>
      <c r="G142" s="94"/>
      <c r="H142" s="94"/>
      <c r="I142" s="94"/>
      <c r="J142" s="94"/>
      <c r="O142" s="97" t="s">
        <v>6419</v>
      </c>
      <c r="P142" s="18">
        <v>255000</v>
      </c>
      <c r="Q142" s="97">
        <v>1</v>
      </c>
      <c r="R142" s="97">
        <f t="shared" si="16"/>
        <v>218</v>
      </c>
      <c r="S142" s="97">
        <f t="shared" si="17"/>
        <v>55590000</v>
      </c>
      <c r="T142" s="97" t="s">
        <v>6420</v>
      </c>
    </row>
    <row r="143" spans="1:23">
      <c r="A143" s="94"/>
      <c r="B143" s="94"/>
      <c r="E143" s="94"/>
      <c r="F143" s="94"/>
      <c r="G143" s="94"/>
      <c r="H143" s="94"/>
      <c r="I143" s="94" t="s">
        <v>25</v>
      </c>
      <c r="J143" s="94"/>
      <c r="O143" s="97" t="s">
        <v>6421</v>
      </c>
      <c r="P143" s="18">
        <v>-3255000</v>
      </c>
      <c r="Q143" s="97">
        <v>9</v>
      </c>
      <c r="R143" s="97">
        <f t="shared" si="16"/>
        <v>217</v>
      </c>
      <c r="S143" s="97">
        <f t="shared" si="17"/>
        <v>-706335000</v>
      </c>
      <c r="T143" s="97"/>
      <c r="V143" t="s">
        <v>25</v>
      </c>
    </row>
    <row r="144" spans="1:23">
      <c r="A144" s="94"/>
      <c r="B144" s="94"/>
      <c r="E144" s="94"/>
      <c r="F144" s="94"/>
      <c r="G144" s="94"/>
      <c r="H144" s="94"/>
      <c r="I144" s="94"/>
      <c r="J144" s="94"/>
      <c r="M144" t="s">
        <v>25</v>
      </c>
      <c r="O144" s="97" t="s">
        <v>6435</v>
      </c>
      <c r="P144" s="18">
        <v>60000000</v>
      </c>
      <c r="Q144" s="97">
        <v>19</v>
      </c>
      <c r="R144" s="97">
        <f t="shared" si="16"/>
        <v>208</v>
      </c>
      <c r="S144" s="97">
        <f t="shared" si="17"/>
        <v>12480000000</v>
      </c>
      <c r="T144" s="97"/>
    </row>
    <row r="145" spans="1:25">
      <c r="A145" s="300" t="s">
        <v>6387</v>
      </c>
      <c r="B145" s="301" t="s">
        <v>6385</v>
      </c>
      <c r="C145" s="32" t="s">
        <v>6398</v>
      </c>
      <c r="D145" s="237" t="s">
        <v>1098</v>
      </c>
      <c r="E145" s="32" t="s">
        <v>6386</v>
      </c>
      <c r="F145" s="206" t="s">
        <v>5837</v>
      </c>
      <c r="G145" s="206" t="s">
        <v>6397</v>
      </c>
      <c r="H145" s="94"/>
      <c r="I145" s="94"/>
      <c r="J145" s="94"/>
      <c r="O145" s="97" t="s">
        <v>6441</v>
      </c>
      <c r="P145" s="18">
        <v>473628</v>
      </c>
      <c r="Q145" s="97">
        <v>2</v>
      </c>
      <c r="R145" s="97">
        <f t="shared" ref="R145:R147" si="18">Q145+R146</f>
        <v>189</v>
      </c>
      <c r="S145" s="97">
        <f t="shared" ref="S145:S147" si="19">P145*R145</f>
        <v>89515692</v>
      </c>
      <c r="T145" s="97" t="s">
        <v>6442</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6443</v>
      </c>
      <c r="P146" s="18">
        <v>-473628</v>
      </c>
      <c r="Q146" s="97">
        <v>1</v>
      </c>
      <c r="R146" s="97">
        <f t="shared" si="18"/>
        <v>187</v>
      </c>
      <c r="S146" s="97">
        <f t="shared" si="19"/>
        <v>-88568436</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6445</v>
      </c>
      <c r="P147" s="18">
        <v>-6000000</v>
      </c>
      <c r="Q147" s="97">
        <v>3</v>
      </c>
      <c r="R147" s="97">
        <f t="shared" si="18"/>
        <v>186</v>
      </c>
      <c r="S147" s="97">
        <f t="shared" si="19"/>
        <v>-1116000000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6447</v>
      </c>
      <c r="P148" s="18">
        <v>-475000</v>
      </c>
      <c r="Q148" s="97">
        <v>1</v>
      </c>
      <c r="R148" s="97">
        <f t="shared" ref="R148:R155" si="23">Q148+R149</f>
        <v>183</v>
      </c>
      <c r="S148" s="97">
        <f t="shared" ref="S148:S155" si="24">P148*R148</f>
        <v>-86925000</v>
      </c>
      <c r="T148" s="97" t="s">
        <v>6448</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6449</v>
      </c>
      <c r="P149" s="18">
        <v>-837000</v>
      </c>
      <c r="Q149" s="97">
        <v>1</v>
      </c>
      <c r="R149" s="97">
        <f t="shared" si="23"/>
        <v>182</v>
      </c>
      <c r="S149" s="97">
        <f t="shared" si="24"/>
        <v>-152334000</v>
      </c>
      <c r="T149" s="97" t="s">
        <v>6448</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6450</v>
      </c>
      <c r="P150" s="18">
        <v>-493000</v>
      </c>
      <c r="Q150" s="97">
        <v>1</v>
      </c>
      <c r="R150" s="97">
        <f t="shared" si="23"/>
        <v>181</v>
      </c>
      <c r="S150" s="97">
        <f t="shared" si="24"/>
        <v>-89233000</v>
      </c>
      <c r="T150" s="97" t="s">
        <v>6448</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6451</v>
      </c>
      <c r="P151" s="18">
        <v>54000</v>
      </c>
      <c r="Q151" s="97">
        <v>3</v>
      </c>
      <c r="R151" s="97">
        <f t="shared" si="23"/>
        <v>180</v>
      </c>
      <c r="S151" s="97">
        <f t="shared" si="24"/>
        <v>9720000</v>
      </c>
      <c r="T151" s="97" t="s">
        <v>6452</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6454</v>
      </c>
      <c r="P152" s="18">
        <v>-400000</v>
      </c>
      <c r="Q152" s="97">
        <v>2</v>
      </c>
      <c r="R152" s="97">
        <f t="shared" si="23"/>
        <v>177</v>
      </c>
      <c r="S152" s="97">
        <f t="shared" si="24"/>
        <v>-70800000</v>
      </c>
      <c r="T152" s="97" t="s">
        <v>6456</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6458</v>
      </c>
      <c r="P153" s="18">
        <v>-938000</v>
      </c>
      <c r="Q153" s="97">
        <v>9</v>
      </c>
      <c r="R153" s="97">
        <f t="shared" si="23"/>
        <v>175</v>
      </c>
      <c r="S153" s="97">
        <f t="shared" si="24"/>
        <v>-164150000</v>
      </c>
      <c r="T153" s="97" t="s">
        <v>6448</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6570</v>
      </c>
      <c r="P154" s="18">
        <v>-7911000</v>
      </c>
      <c r="Q154" s="97">
        <v>12</v>
      </c>
      <c r="R154" s="97">
        <f t="shared" si="23"/>
        <v>166</v>
      </c>
      <c r="S154" s="97">
        <f t="shared" si="24"/>
        <v>-1313226000</v>
      </c>
      <c r="T154" s="97" t="s">
        <v>6571</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6581</v>
      </c>
      <c r="P155" s="18">
        <v>1000000</v>
      </c>
      <c r="Q155" s="97">
        <v>1</v>
      </c>
      <c r="R155" s="97">
        <f t="shared" si="23"/>
        <v>154</v>
      </c>
      <c r="S155" s="97">
        <f t="shared" si="24"/>
        <v>154000000</v>
      </c>
      <c r="T155" s="97" t="s">
        <v>6587</v>
      </c>
    </row>
    <row r="156" spans="1:25">
      <c r="A156" s="300">
        <v>1400</v>
      </c>
      <c r="B156" s="301">
        <v>4300</v>
      </c>
      <c r="C156" s="32">
        <f t="shared" ref="C156" si="27">(B156-B155)*100/B155</f>
        <v>23.705408515535098</v>
      </c>
      <c r="D156" s="237">
        <v>25000</v>
      </c>
      <c r="E156" s="32">
        <f t="shared" si="26"/>
        <v>172</v>
      </c>
      <c r="F156" s="18">
        <v>15000000</v>
      </c>
      <c r="G156" s="206">
        <f t="shared" si="25"/>
        <v>286.66666666666669</v>
      </c>
      <c r="O156" s="97" t="s">
        <v>6582</v>
      </c>
      <c r="P156" s="18">
        <v>-1000000</v>
      </c>
      <c r="Q156" s="97">
        <v>19</v>
      </c>
      <c r="R156" s="97">
        <f t="shared" ref="R156:R158" si="28">Q156+R157</f>
        <v>153</v>
      </c>
      <c r="S156" s="97">
        <f t="shared" ref="S156:S158" si="29">P156*R156</f>
        <v>-153000000</v>
      </c>
      <c r="T156" s="97" t="s">
        <v>6571</v>
      </c>
    </row>
    <row r="157" spans="1:25">
      <c r="A157" s="94"/>
      <c r="B157" s="94"/>
      <c r="E157" s="94"/>
      <c r="F157" s="94"/>
      <c r="G157" s="94"/>
      <c r="O157" s="97" t="s">
        <v>6603</v>
      </c>
      <c r="P157" s="18">
        <v>400000</v>
      </c>
      <c r="Q157" s="97">
        <v>0</v>
      </c>
      <c r="R157" s="97">
        <f t="shared" si="28"/>
        <v>134</v>
      </c>
      <c r="S157" s="97">
        <f t="shared" si="29"/>
        <v>53600000</v>
      </c>
      <c r="T157" s="97"/>
    </row>
    <row r="158" spans="1:25">
      <c r="A158" s="94"/>
      <c r="B158" s="94"/>
      <c r="E158" s="94"/>
      <c r="F158" s="94"/>
      <c r="G158" s="94"/>
      <c r="O158" s="97" t="s">
        <v>6603</v>
      </c>
      <c r="P158" s="18">
        <v>-400000</v>
      </c>
      <c r="Q158" s="97">
        <v>11</v>
      </c>
      <c r="R158" s="97">
        <f t="shared" si="28"/>
        <v>134</v>
      </c>
      <c r="S158" s="97">
        <f t="shared" si="29"/>
        <v>-53600000</v>
      </c>
      <c r="T158" s="97"/>
      <c r="Y158" t="s">
        <v>25</v>
      </c>
    </row>
    <row r="159" spans="1:25">
      <c r="A159" s="94"/>
      <c r="B159" s="94"/>
      <c r="E159" s="94"/>
      <c r="F159" s="94"/>
      <c r="G159" s="94"/>
      <c r="O159" s="97" t="s">
        <v>6618</v>
      </c>
      <c r="P159" s="18">
        <v>600000</v>
      </c>
      <c r="Q159" s="97">
        <v>5</v>
      </c>
      <c r="R159" s="97">
        <f t="shared" ref="R159:R163" si="30">Q159+R160</f>
        <v>123</v>
      </c>
      <c r="S159" s="97">
        <f t="shared" ref="S159:S163" si="31">P159*R159</f>
        <v>73800000</v>
      </c>
      <c r="T159" s="97"/>
    </row>
    <row r="160" spans="1:25">
      <c r="A160" s="94"/>
      <c r="B160" s="94"/>
      <c r="E160" s="94"/>
      <c r="O160" s="97" t="s">
        <v>6625</v>
      </c>
      <c r="P160" s="18">
        <v>-600000</v>
      </c>
      <c r="Q160" s="97">
        <v>30</v>
      </c>
      <c r="R160" s="97">
        <f t="shared" si="30"/>
        <v>118</v>
      </c>
      <c r="S160" s="97">
        <f t="shared" si="31"/>
        <v>-70800000</v>
      </c>
      <c r="T160" s="97"/>
    </row>
    <row r="161" spans="1:25">
      <c r="A161">
        <v>0</v>
      </c>
      <c r="B161" s="94">
        <v>1</v>
      </c>
      <c r="C161" s="94">
        <v>3476</v>
      </c>
      <c r="E161" s="94">
        <v>2.845E-2</v>
      </c>
      <c r="O161" s="97" t="s">
        <v>6944</v>
      </c>
      <c r="P161" s="18">
        <v>650000</v>
      </c>
      <c r="Q161" s="97">
        <v>4</v>
      </c>
      <c r="R161" s="97">
        <f t="shared" si="30"/>
        <v>88</v>
      </c>
      <c r="S161" s="97">
        <f t="shared" si="31"/>
        <v>57200000</v>
      </c>
      <c r="T161" s="97"/>
      <c r="X161" t="s">
        <v>25</v>
      </c>
    </row>
    <row r="162" spans="1:25">
      <c r="A162">
        <v>1</v>
      </c>
      <c r="B162" s="94">
        <f>B161*(1+$E$161)</f>
        <v>1.0284500000000001</v>
      </c>
      <c r="C162" s="94">
        <f>C161*(1+$E$161)</f>
        <v>3574.8922000000002</v>
      </c>
      <c r="E162" s="94"/>
      <c r="O162" s="97" t="s">
        <v>6947</v>
      </c>
      <c r="P162" s="18">
        <v>-650000</v>
      </c>
      <c r="Q162" s="97">
        <v>15</v>
      </c>
      <c r="R162" s="97">
        <f t="shared" si="30"/>
        <v>84</v>
      </c>
      <c r="S162" s="97">
        <f t="shared" si="31"/>
        <v>-54600000</v>
      </c>
      <c r="T162" s="97"/>
    </row>
    <row r="163" spans="1:25">
      <c r="A163" s="94">
        <v>2</v>
      </c>
      <c r="B163" s="94">
        <f t="shared" ref="B163:B173" si="32">B162*(1+$E$161)</f>
        <v>1.0577094025000002</v>
      </c>
      <c r="C163" s="94">
        <f t="shared" ref="C163:C173" si="33">C162*(1+$E$161)</f>
        <v>3676.5978830900003</v>
      </c>
      <c r="E163" s="94"/>
      <c r="O163" s="97" t="s">
        <v>6954</v>
      </c>
      <c r="P163" s="18">
        <v>700000</v>
      </c>
      <c r="Q163" s="97">
        <v>6</v>
      </c>
      <c r="R163" s="97">
        <f t="shared" si="30"/>
        <v>69</v>
      </c>
      <c r="S163" s="97">
        <f t="shared" si="31"/>
        <v>48300000</v>
      </c>
      <c r="T163" s="97"/>
      <c r="Y163" t="s">
        <v>25</v>
      </c>
    </row>
    <row r="164" spans="1:25">
      <c r="A164" s="94">
        <v>3</v>
      </c>
      <c r="B164" s="94">
        <f t="shared" si="32"/>
        <v>1.0878012350011252</v>
      </c>
      <c r="C164" s="94">
        <f t="shared" si="33"/>
        <v>3781.1970928639112</v>
      </c>
      <c r="O164" s="97" t="s">
        <v>6957</v>
      </c>
      <c r="P164" s="18">
        <v>-700000</v>
      </c>
      <c r="Q164" s="97">
        <v>22</v>
      </c>
      <c r="R164" s="97">
        <f t="shared" ref="R164:R172" si="34">Q164+R165</f>
        <v>63</v>
      </c>
      <c r="S164" s="97">
        <f t="shared" ref="S164:S172" si="35">P164*R164</f>
        <v>-44100000</v>
      </c>
      <c r="T164" s="97"/>
    </row>
    <row r="165" spans="1:25">
      <c r="A165" s="94">
        <v>4</v>
      </c>
      <c r="B165" s="94">
        <f t="shared" si="32"/>
        <v>1.1187491801369074</v>
      </c>
      <c r="C165" s="94">
        <f t="shared" si="33"/>
        <v>3888.7721501558899</v>
      </c>
      <c r="E165" s="94"/>
      <c r="F165" s="94"/>
      <c r="G165" s="94"/>
      <c r="H165" s="94"/>
      <c r="I165" s="94"/>
      <c r="J165" s="94"/>
      <c r="K165" s="94"/>
      <c r="L165" s="94"/>
      <c r="O165" s="97" t="s">
        <v>7038</v>
      </c>
      <c r="P165" s="18">
        <v>1000000</v>
      </c>
      <c r="Q165" s="97">
        <v>7</v>
      </c>
      <c r="R165" s="97">
        <f t="shared" si="34"/>
        <v>41</v>
      </c>
      <c r="S165" s="97">
        <f t="shared" si="35"/>
        <v>41000000</v>
      </c>
      <c r="T165" s="97"/>
    </row>
    <row r="166" spans="1:25">
      <c r="A166" s="94">
        <v>5</v>
      </c>
      <c r="B166" s="94">
        <f t="shared" si="32"/>
        <v>1.1505775943118024</v>
      </c>
      <c r="C166" s="94">
        <f t="shared" si="33"/>
        <v>3999.4077178278253</v>
      </c>
      <c r="E166" s="94"/>
      <c r="F166" s="94"/>
      <c r="G166" s="94"/>
      <c r="H166" s="94"/>
      <c r="I166" s="94"/>
      <c r="J166" s="94"/>
      <c r="K166" s="94"/>
      <c r="L166" s="94"/>
      <c r="O166" s="97" t="s">
        <v>7054</v>
      </c>
      <c r="P166" s="18">
        <v>-1000000</v>
      </c>
      <c r="Q166" s="97">
        <v>33</v>
      </c>
      <c r="R166" s="97">
        <f t="shared" si="34"/>
        <v>34</v>
      </c>
      <c r="S166" s="97">
        <f t="shared" si="35"/>
        <v>-34000000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7110</v>
      </c>
      <c r="P167" s="18">
        <v>2000000</v>
      </c>
      <c r="Q167" s="97">
        <v>1</v>
      </c>
      <c r="R167" s="97">
        <f t="shared" si="34"/>
        <v>1</v>
      </c>
      <c r="S167" s="97">
        <f t="shared" si="35"/>
        <v>2000000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45000000</v>
      </c>
      <c r="Q173" s="97"/>
      <c r="R173" s="97"/>
      <c r="S173" s="18">
        <f>SUM(S32:S172)</f>
        <v>21012521756</v>
      </c>
      <c r="T173" s="97"/>
    </row>
    <row r="174" spans="1:25">
      <c r="A174" s="94"/>
      <c r="B174" s="94"/>
      <c r="E174" s="94"/>
      <c r="F174" s="94"/>
      <c r="G174" s="94"/>
      <c r="H174" s="94"/>
      <c r="I174" s="94"/>
      <c r="J174" s="94"/>
      <c r="K174" s="94"/>
      <c r="L174" s="94"/>
      <c r="M174" s="94"/>
      <c r="N174" s="94"/>
      <c r="P174" t="s">
        <v>4897</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4823</v>
      </c>
      <c r="B179" s="176" t="s">
        <v>4824</v>
      </c>
      <c r="C179" s="427" t="s">
        <v>6929</v>
      </c>
      <c r="D179" s="176" t="s">
        <v>6928</v>
      </c>
      <c r="E179" s="427" t="s">
        <v>6930</v>
      </c>
      <c r="F179" s="176" t="s">
        <v>6931</v>
      </c>
      <c r="G179" s="176" t="s">
        <v>6434</v>
      </c>
      <c r="H179" s="176" t="s">
        <v>6472</v>
      </c>
      <c r="I179" s="176" t="s">
        <v>4245</v>
      </c>
      <c r="J179" s="176" t="s">
        <v>4908</v>
      </c>
      <c r="K179" s="176" t="s">
        <v>6927</v>
      </c>
      <c r="L179" s="176" t="s">
        <v>4908</v>
      </c>
      <c r="M179" s="416" t="s">
        <v>5262</v>
      </c>
      <c r="O179" t="s">
        <v>25</v>
      </c>
      <c r="R179" t="s">
        <v>25</v>
      </c>
    </row>
    <row r="180" spans="1:21" ht="15.75">
      <c r="A180" s="418" t="s">
        <v>6467</v>
      </c>
      <c r="B180" s="419">
        <v>3502073352</v>
      </c>
      <c r="C180" s="419">
        <v>350</v>
      </c>
      <c r="D180" s="419">
        <f>B180*C180/$M$180</f>
        <v>40.857522439999997</v>
      </c>
      <c r="E180" s="426">
        <v>190</v>
      </c>
      <c r="F180" s="418">
        <f>0.75*B180*E180/$M$180</f>
        <v>16.634848422000001</v>
      </c>
      <c r="G180" s="418">
        <v>130</v>
      </c>
      <c r="H180" s="418">
        <f>0.75*B180*G180/$M$180</f>
        <v>11.381738393999999</v>
      </c>
      <c r="I180" s="418">
        <v>2255</v>
      </c>
      <c r="J180" s="418">
        <f t="shared" ref="J180:J192" si="36">B180*I180/$M$180</f>
        <v>263.23918029200001</v>
      </c>
      <c r="K180" s="418">
        <f>I180</f>
        <v>2255</v>
      </c>
      <c r="L180" s="418">
        <f t="shared" ref="L180:L193" si="37">B180*K180/$M$180</f>
        <v>263.23918029200001</v>
      </c>
      <c r="M180" s="419">
        <v>30000000000</v>
      </c>
      <c r="P180" t="s">
        <v>25</v>
      </c>
      <c r="R180" t="s">
        <v>25</v>
      </c>
    </row>
    <row r="181" spans="1:21" ht="23.25">
      <c r="A181" s="420" t="s">
        <v>4216</v>
      </c>
      <c r="B181" s="421">
        <v>3356161798</v>
      </c>
      <c r="C181" s="421">
        <v>340</v>
      </c>
      <c r="D181" s="421">
        <f t="shared" ref="D181:D192" si="38">B181*C181/$M$180</f>
        <v>38.036500377333333</v>
      </c>
      <c r="E181" s="424">
        <v>230</v>
      </c>
      <c r="F181" s="420">
        <f t="shared" ref="F181:F192" si="39">B181*E181/$M$180</f>
        <v>25.730573784666667</v>
      </c>
      <c r="G181" s="420">
        <v>200</v>
      </c>
      <c r="H181" s="420">
        <f t="shared" ref="H181:H192" si="40">B181*G181/$M$180</f>
        <v>22.374411986666665</v>
      </c>
      <c r="I181" s="420">
        <v>1497</v>
      </c>
      <c r="J181" s="420">
        <f t="shared" si="36"/>
        <v>167.47247372020001</v>
      </c>
      <c r="K181" s="432">
        <v>3700</v>
      </c>
      <c r="L181" s="425">
        <f t="shared" si="37"/>
        <v>413.92662175333334</v>
      </c>
      <c r="M181" s="94"/>
      <c r="R181" t="s">
        <v>25</v>
      </c>
      <c r="U181" s="94"/>
    </row>
    <row r="182" spans="1:21" ht="15.75">
      <c r="A182" s="418" t="s">
        <v>4509</v>
      </c>
      <c r="B182" s="419">
        <v>2003857980</v>
      </c>
      <c r="C182" s="419">
        <v>280</v>
      </c>
      <c r="D182" s="419">
        <f t="shared" si="38"/>
        <v>18.702674479999999</v>
      </c>
      <c r="E182" s="426">
        <v>130</v>
      </c>
      <c r="F182" s="418">
        <f t="shared" si="39"/>
        <v>8.6833845800000002</v>
      </c>
      <c r="G182" s="418">
        <v>28</v>
      </c>
      <c r="H182" s="418">
        <f t="shared" si="40"/>
        <v>1.8702674480000001</v>
      </c>
      <c r="I182" s="418">
        <v>1309</v>
      </c>
      <c r="J182" s="418">
        <f t="shared" si="36"/>
        <v>87.435003194000004</v>
      </c>
      <c r="K182" s="418">
        <f>I182</f>
        <v>1309</v>
      </c>
      <c r="L182" s="418">
        <f t="shared" si="37"/>
        <v>87.435003194000004</v>
      </c>
      <c r="M182" s="94"/>
      <c r="O182" t="s">
        <v>25</v>
      </c>
      <c r="U182" s="94"/>
    </row>
    <row r="183" spans="1:21" ht="15.75">
      <c r="A183" s="420" t="s">
        <v>5788</v>
      </c>
      <c r="B183" s="421">
        <v>499499998</v>
      </c>
      <c r="C183" s="421">
        <v>450</v>
      </c>
      <c r="D183" s="421">
        <f t="shared" si="38"/>
        <v>7.4924999699999999</v>
      </c>
      <c r="E183" s="424">
        <v>308</v>
      </c>
      <c r="F183" s="420">
        <f t="shared" si="39"/>
        <v>5.1281999794666664</v>
      </c>
      <c r="G183" s="420">
        <v>213</v>
      </c>
      <c r="H183" s="420">
        <f t="shared" si="40"/>
        <v>3.5464499857999998</v>
      </c>
      <c r="I183" s="420">
        <v>2819</v>
      </c>
      <c r="J183" s="420">
        <f t="shared" si="36"/>
        <v>46.936349812066666</v>
      </c>
      <c r="K183" s="418">
        <f t="shared" ref="K183:K192" si="41">I183</f>
        <v>2819</v>
      </c>
      <c r="L183" s="420">
        <f t="shared" si="37"/>
        <v>46.936349812066666</v>
      </c>
      <c r="M183" s="94"/>
      <c r="T183" t="s">
        <v>25</v>
      </c>
      <c r="U183" s="94"/>
    </row>
    <row r="184" spans="1:21" ht="15.75">
      <c r="A184" s="418" t="s">
        <v>6469</v>
      </c>
      <c r="B184" s="419">
        <v>4161561525</v>
      </c>
      <c r="C184" s="419">
        <v>80</v>
      </c>
      <c r="D184" s="419">
        <f t="shared" si="38"/>
        <v>11.0974974</v>
      </c>
      <c r="E184" s="426">
        <v>66</v>
      </c>
      <c r="F184" s="418">
        <f t="shared" si="39"/>
        <v>9.1554353549999998</v>
      </c>
      <c r="G184" s="418">
        <v>6.6</v>
      </c>
      <c r="H184" s="418">
        <f t="shared" si="40"/>
        <v>0.91554353550000001</v>
      </c>
      <c r="I184" s="418">
        <v>332</v>
      </c>
      <c r="J184" s="418">
        <f t="shared" si="36"/>
        <v>46.054614209999997</v>
      </c>
      <c r="K184" s="418">
        <f t="shared" si="41"/>
        <v>332</v>
      </c>
      <c r="L184" s="418">
        <f t="shared" si="37"/>
        <v>46.054614209999997</v>
      </c>
      <c r="M184" s="94"/>
      <c r="R184" t="s">
        <v>25</v>
      </c>
      <c r="U184" s="94"/>
    </row>
    <row r="185" spans="1:21" ht="15.75">
      <c r="A185" s="420" t="s">
        <v>6468</v>
      </c>
      <c r="B185" s="421">
        <v>5610540000</v>
      </c>
      <c r="C185" s="421">
        <v>60</v>
      </c>
      <c r="D185" s="421">
        <f t="shared" si="38"/>
        <v>11.221080000000001</v>
      </c>
      <c r="E185" s="424">
        <v>58</v>
      </c>
      <c r="F185" s="420">
        <f t="shared" si="39"/>
        <v>10.847044</v>
      </c>
      <c r="G185" s="420">
        <v>15</v>
      </c>
      <c r="H185" s="420">
        <f t="shared" si="40"/>
        <v>2.8052700000000002</v>
      </c>
      <c r="I185" s="420">
        <v>216</v>
      </c>
      <c r="J185" s="420">
        <f t="shared" si="36"/>
        <v>40.395887999999999</v>
      </c>
      <c r="K185" s="418">
        <f t="shared" si="41"/>
        <v>216</v>
      </c>
      <c r="L185" s="420">
        <f>B185*K185/$M$180</f>
        <v>40.395887999999999</v>
      </c>
      <c r="M185" s="94"/>
      <c r="U185" s="94"/>
    </row>
    <row r="186" spans="1:21" ht="15.75">
      <c r="A186" s="418" t="s">
        <v>4520</v>
      </c>
      <c r="B186" s="419">
        <v>978026662</v>
      </c>
      <c r="C186" s="419">
        <v>140</v>
      </c>
      <c r="D186" s="419">
        <f t="shared" si="38"/>
        <v>4.5641244226666666</v>
      </c>
      <c r="E186" s="426">
        <v>50</v>
      </c>
      <c r="F186" s="418">
        <f t="shared" si="39"/>
        <v>1.6300444366666667</v>
      </c>
      <c r="G186" s="418">
        <v>50</v>
      </c>
      <c r="H186" s="418">
        <f t="shared" si="40"/>
        <v>1.6300444366666667</v>
      </c>
      <c r="I186" s="418">
        <v>648</v>
      </c>
      <c r="J186" s="418">
        <f t="shared" si="36"/>
        <v>21.125375899200002</v>
      </c>
      <c r="K186" s="418">
        <f t="shared" si="41"/>
        <v>648</v>
      </c>
      <c r="L186" s="418">
        <f t="shared" si="37"/>
        <v>21.125375899200002</v>
      </c>
      <c r="M186" s="94"/>
    </row>
    <row r="187" spans="1:21" ht="15.75">
      <c r="A187" s="418" t="s">
        <v>6470</v>
      </c>
      <c r="B187" s="419">
        <v>337500000</v>
      </c>
      <c r="C187" s="419">
        <v>280</v>
      </c>
      <c r="D187" s="419">
        <f t="shared" si="38"/>
        <v>3.15</v>
      </c>
      <c r="E187" s="426">
        <v>219.8</v>
      </c>
      <c r="F187" s="418">
        <f t="shared" si="39"/>
        <v>2.47275</v>
      </c>
      <c r="G187" s="418">
        <v>237</v>
      </c>
      <c r="H187" s="418">
        <f t="shared" si="40"/>
        <v>2.6662499999999998</v>
      </c>
      <c r="I187" s="418">
        <v>1641</v>
      </c>
      <c r="J187" s="418">
        <f t="shared" si="36"/>
        <v>18.46125</v>
      </c>
      <c r="K187" s="418">
        <f t="shared" si="41"/>
        <v>1641</v>
      </c>
      <c r="L187" s="418">
        <f t="shared" si="37"/>
        <v>18.46125</v>
      </c>
      <c r="M187" s="94"/>
      <c r="Q187" s="94"/>
      <c r="R187" s="94"/>
    </row>
    <row r="188" spans="1:21" ht="15.75">
      <c r="A188" s="420" t="s">
        <v>5795</v>
      </c>
      <c r="B188" s="421">
        <v>35697979</v>
      </c>
      <c r="C188" s="421">
        <v>300</v>
      </c>
      <c r="D188" s="421">
        <f t="shared" si="38"/>
        <v>0.35697979000000002</v>
      </c>
      <c r="E188" s="424">
        <v>223</v>
      </c>
      <c r="F188" s="420">
        <f t="shared" si="39"/>
        <v>0.26535497723333334</v>
      </c>
      <c r="G188" s="420">
        <v>80</v>
      </c>
      <c r="H188" s="420">
        <f t="shared" si="40"/>
        <v>9.5194610666666665E-2</v>
      </c>
      <c r="I188" s="420">
        <v>1607</v>
      </c>
      <c r="J188" s="420">
        <f t="shared" si="36"/>
        <v>1.9122217417666667</v>
      </c>
      <c r="K188" s="418">
        <f t="shared" si="41"/>
        <v>1607</v>
      </c>
      <c r="L188" s="420">
        <f t="shared" si="37"/>
        <v>1.9122217417666667</v>
      </c>
      <c r="M188" s="94"/>
      <c r="Q188" s="94"/>
      <c r="R188" s="94"/>
    </row>
    <row r="189" spans="1:21" ht="15.75">
      <c r="A189" s="418" t="s">
        <v>5958</v>
      </c>
      <c r="B189" s="419">
        <v>158220192</v>
      </c>
      <c r="C189" s="419">
        <v>800</v>
      </c>
      <c r="D189" s="419">
        <f t="shared" si="38"/>
        <v>4.2192051199999998</v>
      </c>
      <c r="E189" s="426">
        <v>578</v>
      </c>
      <c r="F189" s="418">
        <f t="shared" si="39"/>
        <v>3.0483756992000002</v>
      </c>
      <c r="G189" s="418">
        <v>300</v>
      </c>
      <c r="H189" s="418">
        <f t="shared" si="40"/>
        <v>1.5822019199999999</v>
      </c>
      <c r="I189" s="418">
        <v>1453</v>
      </c>
      <c r="J189" s="418">
        <f t="shared" si="36"/>
        <v>7.6631312991999998</v>
      </c>
      <c r="K189" s="418">
        <f t="shared" si="41"/>
        <v>1453</v>
      </c>
      <c r="L189" s="418">
        <f t="shared" si="37"/>
        <v>7.6631312991999998</v>
      </c>
      <c r="M189" s="94"/>
      <c r="Q189" s="94"/>
      <c r="R189" s="94"/>
      <c r="S189" s="94"/>
      <c r="T189" s="94"/>
    </row>
    <row r="190" spans="1:21" ht="15.75">
      <c r="A190" s="420" t="s">
        <v>4371</v>
      </c>
      <c r="B190" s="421">
        <v>101805550</v>
      </c>
      <c r="C190" s="421">
        <v>800</v>
      </c>
      <c r="D190" s="421">
        <f t="shared" si="38"/>
        <v>2.7148146666666668</v>
      </c>
      <c r="E190" s="424">
        <v>424</v>
      </c>
      <c r="F190" s="420">
        <f t="shared" si="39"/>
        <v>1.4388517733333333</v>
      </c>
      <c r="G190" s="420">
        <v>370</v>
      </c>
      <c r="H190" s="420">
        <f t="shared" si="40"/>
        <v>1.2556017833333333</v>
      </c>
      <c r="I190" s="420">
        <v>4589</v>
      </c>
      <c r="J190" s="420">
        <f t="shared" si="36"/>
        <v>15.572855631666666</v>
      </c>
      <c r="K190" s="418">
        <f t="shared" si="41"/>
        <v>4589</v>
      </c>
      <c r="L190" s="420">
        <f t="shared" si="37"/>
        <v>15.572855631666666</v>
      </c>
      <c r="M190" s="94"/>
      <c r="S190" s="94"/>
      <c r="T190" s="94"/>
    </row>
    <row r="191" spans="1:21" ht="15.75">
      <c r="A191" s="418" t="s">
        <v>6926</v>
      </c>
      <c r="B191" s="419">
        <v>1</v>
      </c>
      <c r="C191" s="419">
        <v>1000000000000</v>
      </c>
      <c r="D191" s="419">
        <f t="shared" si="38"/>
        <v>33.333333333333336</v>
      </c>
      <c r="E191" s="419">
        <v>600000000000</v>
      </c>
      <c r="F191" s="418">
        <f t="shared" si="39"/>
        <v>20</v>
      </c>
      <c r="G191" s="419">
        <v>400000000000</v>
      </c>
      <c r="H191" s="418">
        <f t="shared" si="40"/>
        <v>13.333333333333334</v>
      </c>
      <c r="I191" s="418">
        <v>6000000000000</v>
      </c>
      <c r="J191" s="418">
        <f t="shared" si="36"/>
        <v>200</v>
      </c>
      <c r="K191" s="418">
        <f t="shared" si="41"/>
        <v>6000000000000</v>
      </c>
      <c r="L191" s="418">
        <f t="shared" si="37"/>
        <v>200</v>
      </c>
      <c r="M191" s="94"/>
      <c r="S191" s="94"/>
      <c r="T191" s="94"/>
    </row>
    <row r="192" spans="1:21" ht="15.75">
      <c r="A192" s="420" t="s">
        <v>6471</v>
      </c>
      <c r="B192" s="421">
        <v>1</v>
      </c>
      <c r="C192" s="421">
        <v>750000000000</v>
      </c>
      <c r="D192" s="421">
        <f t="shared" si="38"/>
        <v>25</v>
      </c>
      <c r="E192" s="421">
        <v>500000000000</v>
      </c>
      <c r="F192" s="420">
        <f t="shared" si="39"/>
        <v>16.666666666666668</v>
      </c>
      <c r="G192" s="421">
        <v>300000000000</v>
      </c>
      <c r="H192" s="420">
        <f t="shared" si="40"/>
        <v>10</v>
      </c>
      <c r="I192" s="420">
        <v>4000000000000</v>
      </c>
      <c r="J192" s="420">
        <f t="shared" si="36"/>
        <v>133.33333333333334</v>
      </c>
      <c r="K192" s="418">
        <f t="shared" si="41"/>
        <v>4000000000000</v>
      </c>
      <c r="L192" s="420">
        <f t="shared" si="37"/>
        <v>133.33333333333334</v>
      </c>
      <c r="M192" s="94"/>
      <c r="S192" s="94"/>
      <c r="T192" s="94"/>
    </row>
    <row r="193" spans="1:20" ht="15.75">
      <c r="A193" s="422"/>
      <c r="B193" s="415"/>
      <c r="C193" s="415"/>
      <c r="D193" s="415"/>
      <c r="E193" s="422"/>
      <c r="F193" s="422"/>
      <c r="G193" s="422"/>
      <c r="H193" s="422"/>
      <c r="I193" s="422"/>
      <c r="J193" s="422"/>
      <c r="K193" s="422"/>
      <c r="L193" s="418">
        <f t="shared" si="37"/>
        <v>0</v>
      </c>
      <c r="M193" s="94"/>
      <c r="S193" s="94"/>
      <c r="T193" s="94"/>
    </row>
    <row r="194" spans="1:20" ht="21">
      <c r="A194" s="422"/>
      <c r="B194" s="422"/>
      <c r="C194" s="422"/>
      <c r="D194" s="422">
        <f>SUM(D181:D193)</f>
        <v>159.88870956</v>
      </c>
      <c r="E194" s="422"/>
      <c r="F194" s="422">
        <f>SUM(F181:F193)</f>
        <v>105.06668125223334</v>
      </c>
      <c r="G194" s="422"/>
      <c r="H194" s="422">
        <f>SUM(H181:H193)</f>
        <v>62.074569039966669</v>
      </c>
      <c r="I194" s="423" t="s">
        <v>4433</v>
      </c>
      <c r="J194" s="423">
        <f>SUM(J180:J192)</f>
        <v>1049.6016771334332</v>
      </c>
      <c r="K194" s="423" t="s">
        <v>4433</v>
      </c>
      <c r="L194" s="428">
        <f>SUM(L180:L192)</f>
        <v>1296.0558251665664</v>
      </c>
      <c r="M194" s="94"/>
    </row>
    <row r="195" spans="1:20" ht="21">
      <c r="A195" s="422"/>
      <c r="B195" s="422"/>
      <c r="C195" s="422"/>
      <c r="D195" s="422" t="s">
        <v>6</v>
      </c>
      <c r="E195" s="422"/>
      <c r="F195" s="422" t="s">
        <v>6</v>
      </c>
      <c r="G195" s="422"/>
      <c r="H195" s="422" t="s">
        <v>6</v>
      </c>
      <c r="I195" s="423" t="s">
        <v>5010</v>
      </c>
      <c r="J195" s="423">
        <v>430</v>
      </c>
      <c r="K195" s="423"/>
      <c r="L195" s="428"/>
      <c r="M195" s="94"/>
    </row>
    <row r="196" spans="1:20" ht="21">
      <c r="A196" s="422"/>
      <c r="B196" s="422"/>
      <c r="C196" s="422"/>
      <c r="D196" s="422"/>
      <c r="E196" s="422"/>
      <c r="F196" s="422"/>
      <c r="G196" s="422"/>
      <c r="H196" s="422"/>
      <c r="I196" s="423" t="s">
        <v>5011</v>
      </c>
      <c r="J196" s="423">
        <f>J195/J194</f>
        <v>0.4096792234310952</v>
      </c>
      <c r="K196" s="423" t="s">
        <v>5011</v>
      </c>
      <c r="L196" s="428">
        <f>J195/L194</f>
        <v>0.33177583222137619</v>
      </c>
      <c r="M196" s="94"/>
    </row>
    <row r="197" spans="1:20">
      <c r="I197" s="94"/>
      <c r="J197" s="94"/>
      <c r="K197" s="94"/>
    </row>
    <row r="198" spans="1:20">
      <c r="I198" s="94"/>
      <c r="J198" s="94"/>
      <c r="K198" s="94"/>
    </row>
    <row r="199" spans="1:20">
      <c r="I199" s="94"/>
      <c r="J199" s="94"/>
      <c r="K199" s="94"/>
    </row>
    <row r="200" spans="1:20" ht="15.75">
      <c r="A200" s="176" t="s">
        <v>4823</v>
      </c>
      <c r="B200" s="176" t="s">
        <v>4824</v>
      </c>
      <c r="C200" s="427" t="s">
        <v>6929</v>
      </c>
      <c r="D200" s="176" t="s">
        <v>6928</v>
      </c>
      <c r="E200" s="427" t="s">
        <v>6930</v>
      </c>
      <c r="F200" s="176" t="s">
        <v>6931</v>
      </c>
      <c r="G200" s="176" t="s">
        <v>6434</v>
      </c>
      <c r="H200" s="176" t="s">
        <v>6941</v>
      </c>
      <c r="I200" s="176" t="s">
        <v>4245</v>
      </c>
      <c r="J200" s="176" t="s">
        <v>4908</v>
      </c>
      <c r="K200" s="416" t="s">
        <v>5791</v>
      </c>
      <c r="Q200" t="s">
        <v>25</v>
      </c>
    </row>
    <row r="201" spans="1:20" ht="15.75">
      <c r="A201" s="418" t="s">
        <v>6932</v>
      </c>
      <c r="B201" s="419">
        <v>980726326</v>
      </c>
      <c r="C201" s="419">
        <v>800</v>
      </c>
      <c r="D201" s="419">
        <f>B201*C201/$K$201</f>
        <v>9.6267614822085896</v>
      </c>
      <c r="E201" s="426">
        <v>700</v>
      </c>
      <c r="F201" s="418">
        <f>B201*E201/$K$201</f>
        <v>8.4234162969325155</v>
      </c>
      <c r="G201" s="418">
        <v>650</v>
      </c>
      <c r="H201" s="418">
        <f>B201*G201/$K$201</f>
        <v>7.8217437042944784</v>
      </c>
      <c r="I201" s="418">
        <v>4383</v>
      </c>
      <c r="J201" s="418">
        <f>B201*I201/$K$201</f>
        <v>52.742619470650304</v>
      </c>
      <c r="K201" s="419">
        <v>81500000000</v>
      </c>
    </row>
    <row r="202" spans="1:20" ht="15.75">
      <c r="A202" s="420" t="s">
        <v>4476</v>
      </c>
      <c r="B202" s="421">
        <v>478789262</v>
      </c>
      <c r="C202" s="421">
        <v>7000</v>
      </c>
      <c r="D202" s="419">
        <f t="shared" ref="D202:D220" si="42">B202*C202/$K$201</f>
        <v>41.123004098159512</v>
      </c>
      <c r="E202" s="424">
        <v>5800</v>
      </c>
      <c r="F202" s="418">
        <f t="shared" ref="F202:F219" si="43">B202*E202/$K$201</f>
        <v>34.073346252760736</v>
      </c>
      <c r="G202" s="420">
        <v>5600</v>
      </c>
      <c r="H202" s="418">
        <f t="shared" ref="H202:H220" si="44">B202*G202/$K$201</f>
        <v>32.89840327852761</v>
      </c>
      <c r="I202" s="420">
        <v>37780</v>
      </c>
      <c r="J202" s="418">
        <f t="shared" ref="J202:J220" si="45">B202*I202/$K$201</f>
        <v>221.94672783263803</v>
      </c>
      <c r="K202" s="417"/>
    </row>
    <row r="203" spans="1:20" ht="15.75">
      <c r="A203" s="418" t="s">
        <v>6940</v>
      </c>
      <c r="B203" s="419">
        <v>1226605805</v>
      </c>
      <c r="C203" s="419">
        <v>150</v>
      </c>
      <c r="D203" s="419">
        <f t="shared" si="42"/>
        <v>2.2575566963190186</v>
      </c>
      <c r="E203" s="426">
        <v>120</v>
      </c>
      <c r="F203" s="418">
        <f t="shared" si="43"/>
        <v>1.8060453570552146</v>
      </c>
      <c r="G203" s="418">
        <v>5</v>
      </c>
      <c r="H203" s="418">
        <f t="shared" si="44"/>
        <v>7.525188987730061E-2</v>
      </c>
      <c r="I203" s="418">
        <v>1242</v>
      </c>
      <c r="J203" s="418">
        <f t="shared" si="45"/>
        <v>18.692569445521471</v>
      </c>
      <c r="K203" s="417"/>
    </row>
    <row r="204" spans="1:20" ht="15.75">
      <c r="A204" s="420" t="s">
        <v>6939</v>
      </c>
      <c r="B204" s="421">
        <v>2939645030</v>
      </c>
      <c r="C204" s="421">
        <v>10</v>
      </c>
      <c r="D204" s="419">
        <f t="shared" si="42"/>
        <v>0.36069264171779142</v>
      </c>
      <c r="E204" s="424">
        <v>10</v>
      </c>
      <c r="F204" s="418">
        <f t="shared" si="43"/>
        <v>0.36069264171779142</v>
      </c>
      <c r="G204" s="420">
        <v>1</v>
      </c>
      <c r="H204" s="418">
        <f t="shared" si="44"/>
        <v>3.6069264171779143E-2</v>
      </c>
      <c r="I204" s="420">
        <v>473</v>
      </c>
      <c r="J204" s="418">
        <f t="shared" si="45"/>
        <v>17.060761953251532</v>
      </c>
      <c r="K204" s="417"/>
    </row>
    <row r="205" spans="1:20" ht="15.75">
      <c r="A205" s="418" t="s">
        <v>6942</v>
      </c>
      <c r="B205" s="419">
        <v>1270296458</v>
      </c>
      <c r="C205" s="419">
        <v>300</v>
      </c>
      <c r="D205" s="419">
        <f t="shared" si="42"/>
        <v>4.6759378822085891</v>
      </c>
      <c r="E205" s="426">
        <v>300</v>
      </c>
      <c r="F205" s="418">
        <f t="shared" si="43"/>
        <v>4.6759378822085891</v>
      </c>
      <c r="G205" s="418">
        <v>270</v>
      </c>
      <c r="H205" s="418">
        <f t="shared" si="44"/>
        <v>4.2083440939877299</v>
      </c>
      <c r="I205" s="418">
        <v>2402</v>
      </c>
      <c r="J205" s="418">
        <f t="shared" si="45"/>
        <v>37.438675976883438</v>
      </c>
      <c r="K205" s="417"/>
      <c r="N205" s="416" t="s">
        <v>25</v>
      </c>
    </row>
    <row r="206" spans="1:20" ht="15.75">
      <c r="A206" s="420" t="s">
        <v>5798</v>
      </c>
      <c r="B206" s="421">
        <v>1336082292</v>
      </c>
      <c r="C206" s="421">
        <v>3000</v>
      </c>
      <c r="D206" s="419">
        <f t="shared" si="42"/>
        <v>49.180943263803684</v>
      </c>
      <c r="E206" s="424">
        <v>2500</v>
      </c>
      <c r="F206" s="418">
        <f t="shared" si="43"/>
        <v>40.984119386503068</v>
      </c>
      <c r="G206" s="420">
        <v>2100</v>
      </c>
      <c r="H206" s="418">
        <f t="shared" si="44"/>
        <v>34.426660284662574</v>
      </c>
      <c r="I206" s="420">
        <v>18424</v>
      </c>
      <c r="J206" s="418">
        <f t="shared" si="45"/>
        <v>302.03656623077302</v>
      </c>
      <c r="K206" s="417"/>
    </row>
    <row r="207" spans="1:20" ht="15.75">
      <c r="A207" s="418" t="s">
        <v>4371</v>
      </c>
      <c r="B207" s="419">
        <v>1344540394</v>
      </c>
      <c r="C207" s="419">
        <v>1000</v>
      </c>
      <c r="D207" s="419">
        <f t="shared" si="42"/>
        <v>16.497428147239265</v>
      </c>
      <c r="E207" s="426">
        <v>800</v>
      </c>
      <c r="F207" s="418">
        <f t="shared" si="43"/>
        <v>13.197942517791411</v>
      </c>
      <c r="G207" s="418">
        <v>650</v>
      </c>
      <c r="H207" s="418">
        <f t="shared" si="44"/>
        <v>10.723328295705521</v>
      </c>
      <c r="I207" s="418">
        <v>4330</v>
      </c>
      <c r="J207" s="418">
        <f t="shared" si="45"/>
        <v>71.433863877546017</v>
      </c>
      <c r="K207" s="417"/>
    </row>
    <row r="208" spans="1:20" ht="15.75">
      <c r="A208" s="420" t="s">
        <v>6943</v>
      </c>
      <c r="B208" s="421">
        <v>1200002514</v>
      </c>
      <c r="C208" s="421">
        <v>300</v>
      </c>
      <c r="D208" s="419">
        <f t="shared" si="42"/>
        <v>4.4171871680981596</v>
      </c>
      <c r="E208" s="424">
        <v>300</v>
      </c>
      <c r="F208" s="418">
        <f t="shared" si="43"/>
        <v>4.4171871680981596</v>
      </c>
      <c r="G208" s="420">
        <v>250</v>
      </c>
      <c r="H208" s="418">
        <f t="shared" si="44"/>
        <v>3.6809893067484665</v>
      </c>
      <c r="I208" s="420">
        <v>1897</v>
      </c>
      <c r="J208" s="418">
        <f t="shared" si="45"/>
        <v>27.931346859607363</v>
      </c>
      <c r="K208" s="417"/>
    </row>
    <row r="209" spans="1:11" ht="15.75">
      <c r="A209" s="418" t="s">
        <v>4477</v>
      </c>
      <c r="B209" s="419">
        <v>1114663695</v>
      </c>
      <c r="C209" s="419">
        <v>800</v>
      </c>
      <c r="D209" s="419">
        <f t="shared" si="42"/>
        <v>10.941484122699386</v>
      </c>
      <c r="E209" s="426">
        <v>650</v>
      </c>
      <c r="F209" s="418">
        <f t="shared" si="43"/>
        <v>8.8899558496932514</v>
      </c>
      <c r="G209" s="418">
        <v>600</v>
      </c>
      <c r="H209" s="418">
        <f t="shared" si="44"/>
        <v>8.2061130920245393</v>
      </c>
      <c r="I209" s="418">
        <v>5020</v>
      </c>
      <c r="J209" s="418">
        <f t="shared" si="45"/>
        <v>68.657812869938653</v>
      </c>
      <c r="K209" s="417"/>
    </row>
    <row r="210" spans="1:11" ht="15.75">
      <c r="A210" s="420" t="s">
        <v>5762</v>
      </c>
      <c r="B210" s="421">
        <v>2321974047</v>
      </c>
      <c r="C210" s="421">
        <v>900</v>
      </c>
      <c r="D210" s="419">
        <f t="shared" si="42"/>
        <v>25.641431193865031</v>
      </c>
      <c r="E210" s="424">
        <v>700</v>
      </c>
      <c r="F210" s="418">
        <f t="shared" si="43"/>
        <v>19.943335373006136</v>
      </c>
      <c r="G210" s="420">
        <v>650</v>
      </c>
      <c r="H210" s="418">
        <f t="shared" si="44"/>
        <v>18.518811417791412</v>
      </c>
      <c r="I210" s="420">
        <v>4707</v>
      </c>
      <c r="J210" s="418">
        <f t="shared" si="45"/>
        <v>134.10468514391411</v>
      </c>
      <c r="K210" s="417"/>
    </row>
    <row r="211" spans="1:11" ht="15.75">
      <c r="A211" s="418" t="s">
        <v>4832</v>
      </c>
      <c r="B211" s="419">
        <v>770933241</v>
      </c>
      <c r="C211" s="419">
        <v>1700</v>
      </c>
      <c r="D211" s="419">
        <f t="shared" si="42"/>
        <v>16.080816069938649</v>
      </c>
      <c r="E211" s="426">
        <v>1500</v>
      </c>
      <c r="F211" s="418">
        <f t="shared" si="43"/>
        <v>14.18895535582822</v>
      </c>
      <c r="G211" s="418">
        <v>1300</v>
      </c>
      <c r="H211" s="418">
        <f t="shared" si="44"/>
        <v>12.297094641717791</v>
      </c>
      <c r="I211" s="418">
        <v>8104</v>
      </c>
      <c r="J211" s="418">
        <f t="shared" si="45"/>
        <v>76.658196135754608</v>
      </c>
      <c r="K211" s="417"/>
    </row>
    <row r="212" spans="1:11" ht="21">
      <c r="A212" s="420" t="s">
        <v>5794</v>
      </c>
      <c r="B212" s="421">
        <v>21836381454</v>
      </c>
      <c r="C212" s="421">
        <v>150</v>
      </c>
      <c r="D212" s="419">
        <f>B212*C212/$K$201</f>
        <v>40.189659117791408</v>
      </c>
      <c r="E212" s="424">
        <v>134</v>
      </c>
      <c r="F212" s="418">
        <f>B212*E212/$K$201</f>
        <v>35.902762145226994</v>
      </c>
      <c r="G212" s="425">
        <v>60</v>
      </c>
      <c r="H212" s="428">
        <f t="shared" si="44"/>
        <v>16.075863647116563</v>
      </c>
      <c r="I212" s="420">
        <v>1210</v>
      </c>
      <c r="J212" s="418">
        <f t="shared" si="45"/>
        <v>324.19658355018407</v>
      </c>
      <c r="K212" s="417"/>
    </row>
    <row r="213" spans="1:11" ht="15.75">
      <c r="A213" s="418" t="s">
        <v>6933</v>
      </c>
      <c r="B213" s="419">
        <v>880634647</v>
      </c>
      <c r="C213" s="419">
        <v>2000</v>
      </c>
      <c r="D213" s="419">
        <f t="shared" si="42"/>
        <v>21.61066618404908</v>
      </c>
      <c r="E213" s="426">
        <v>1800</v>
      </c>
      <c r="F213" s="418">
        <f t="shared" si="43"/>
        <v>19.449599565644171</v>
      </c>
      <c r="G213" s="418">
        <v>1700</v>
      </c>
      <c r="H213" s="418">
        <f t="shared" si="44"/>
        <v>18.36906625644172</v>
      </c>
      <c r="I213" s="418">
        <v>9067</v>
      </c>
      <c r="J213" s="418">
        <f t="shared" si="45"/>
        <v>97.971955145386502</v>
      </c>
      <c r="K213" s="417"/>
    </row>
    <row r="214" spans="1:11" ht="15.75">
      <c r="A214" s="420" t="s">
        <v>5271</v>
      </c>
      <c r="B214" s="421">
        <v>5351332707</v>
      </c>
      <c r="C214" s="421">
        <v>160</v>
      </c>
      <c r="D214" s="419">
        <f t="shared" si="42"/>
        <v>10.50568384196319</v>
      </c>
      <c r="E214" s="424">
        <v>160</v>
      </c>
      <c r="F214" s="418">
        <f t="shared" si="43"/>
        <v>10.50568384196319</v>
      </c>
      <c r="G214" s="420">
        <v>150</v>
      </c>
      <c r="H214" s="418">
        <f t="shared" si="44"/>
        <v>9.8490786018404908</v>
      </c>
      <c r="I214" s="420">
        <v>941</v>
      </c>
      <c r="J214" s="418">
        <f t="shared" si="45"/>
        <v>61.786553095546012</v>
      </c>
      <c r="K214" s="417" t="s">
        <v>25</v>
      </c>
    </row>
    <row r="215" spans="1:11" ht="15.75">
      <c r="A215" s="418" t="s">
        <v>6934</v>
      </c>
      <c r="B215" s="419">
        <v>1376998000</v>
      </c>
      <c r="C215" s="419">
        <v>2000</v>
      </c>
      <c r="D215" s="419">
        <f t="shared" si="42"/>
        <v>33.791361963190184</v>
      </c>
      <c r="E215" s="426">
        <v>1700</v>
      </c>
      <c r="F215" s="418">
        <f t="shared" si="43"/>
        <v>28.722657668711655</v>
      </c>
      <c r="G215" s="418">
        <v>1600</v>
      </c>
      <c r="H215" s="418">
        <f t="shared" si="44"/>
        <v>27.033089570552146</v>
      </c>
      <c r="I215" s="418">
        <v>9875</v>
      </c>
      <c r="J215" s="418">
        <f t="shared" si="45"/>
        <v>166.84484969325155</v>
      </c>
      <c r="K215" s="417" t="s">
        <v>25</v>
      </c>
    </row>
    <row r="216" spans="1:11" ht="15.75">
      <c r="A216" s="420" t="s">
        <v>6935</v>
      </c>
      <c r="B216" s="421">
        <v>174270956</v>
      </c>
      <c r="C216" s="421">
        <v>800</v>
      </c>
      <c r="D216" s="419">
        <f t="shared" si="42"/>
        <v>1.7106351509202453</v>
      </c>
      <c r="E216" s="424">
        <v>800</v>
      </c>
      <c r="F216" s="418">
        <f t="shared" si="43"/>
        <v>1.7106351509202453</v>
      </c>
      <c r="G216" s="420">
        <v>600</v>
      </c>
      <c r="H216" s="418">
        <f t="shared" si="44"/>
        <v>1.282976363190184</v>
      </c>
      <c r="I216" s="420">
        <v>6319</v>
      </c>
      <c r="J216" s="418">
        <f t="shared" si="45"/>
        <v>13.511879398331288</v>
      </c>
      <c r="K216" s="417"/>
    </row>
    <row r="217" spans="1:11" ht="15.75">
      <c r="A217" s="418" t="s">
        <v>6936</v>
      </c>
      <c r="B217" s="419">
        <v>1</v>
      </c>
      <c r="C217" s="419">
        <v>350000000000</v>
      </c>
      <c r="D217" s="419">
        <f t="shared" si="42"/>
        <v>4.294478527607362</v>
      </c>
      <c r="E217" s="426">
        <v>300000000000</v>
      </c>
      <c r="F217" s="418">
        <f t="shared" si="43"/>
        <v>3.6809815950920246</v>
      </c>
      <c r="G217" s="418">
        <v>250000000000</v>
      </c>
      <c r="H217" s="418">
        <f t="shared" si="44"/>
        <v>3.0674846625766872</v>
      </c>
      <c r="I217" s="418">
        <v>1800000000000</v>
      </c>
      <c r="J217" s="418">
        <f t="shared" si="45"/>
        <v>22.085889570552148</v>
      </c>
      <c r="K217" s="417"/>
    </row>
    <row r="218" spans="1:11" ht="15.75">
      <c r="A218" s="420" t="s">
        <v>6937</v>
      </c>
      <c r="B218" s="421">
        <v>12494998000</v>
      </c>
      <c r="C218" s="421">
        <v>900</v>
      </c>
      <c r="D218" s="419">
        <f t="shared" si="42"/>
        <v>137.98157300613497</v>
      </c>
      <c r="E218" s="424">
        <v>800</v>
      </c>
      <c r="F218" s="418">
        <f t="shared" si="43"/>
        <v>122.65028711656441</v>
      </c>
      <c r="G218" s="420">
        <v>80</v>
      </c>
      <c r="H218" s="418">
        <f t="shared" si="44"/>
        <v>12.265028711656441</v>
      </c>
      <c r="I218" s="420">
        <v>3000</v>
      </c>
      <c r="J218" s="418">
        <f t="shared" si="45"/>
        <v>459.93857668711655</v>
      </c>
      <c r="K218" s="417"/>
    </row>
    <row r="219" spans="1:11" ht="15.75">
      <c r="A219" s="418" t="s">
        <v>6938</v>
      </c>
      <c r="B219" s="419">
        <v>3062221439</v>
      </c>
      <c r="C219" s="419">
        <v>30</v>
      </c>
      <c r="D219" s="419">
        <f t="shared" si="42"/>
        <v>1.1271980757055216</v>
      </c>
      <c r="E219" s="426">
        <v>20</v>
      </c>
      <c r="F219" s="418">
        <f t="shared" si="43"/>
        <v>0.751465383803681</v>
      </c>
      <c r="G219" s="418">
        <v>2</v>
      </c>
      <c r="H219" s="418">
        <f t="shared" si="44"/>
        <v>7.5146538380368097E-2</v>
      </c>
      <c r="I219" s="418">
        <v>2000</v>
      </c>
      <c r="J219" s="418">
        <f t="shared" si="45"/>
        <v>75.146538380368099</v>
      </c>
    </row>
    <row r="220" spans="1:11" ht="15.75">
      <c r="A220" s="420" t="s">
        <v>6471</v>
      </c>
      <c r="B220" s="421">
        <v>1</v>
      </c>
      <c r="C220" s="421">
        <v>750000000000</v>
      </c>
      <c r="D220" s="419">
        <f t="shared" si="42"/>
        <v>9.2024539877300615</v>
      </c>
      <c r="E220" s="421">
        <v>500000000000</v>
      </c>
      <c r="F220" s="418">
        <f>B220*E220/$K$201</f>
        <v>6.1349693251533743</v>
      </c>
      <c r="G220" s="421">
        <v>300000000000</v>
      </c>
      <c r="H220" s="418">
        <f t="shared" si="44"/>
        <v>3.6809815950920246</v>
      </c>
      <c r="I220" s="420">
        <v>4000000000000</v>
      </c>
      <c r="J220" s="418">
        <f t="shared" si="45"/>
        <v>49.079754601226995</v>
      </c>
    </row>
    <row r="221" spans="1:11" ht="15.75">
      <c r="A221" s="422"/>
      <c r="B221" s="415"/>
      <c r="C221" s="415"/>
      <c r="D221" s="415"/>
      <c r="E221" s="422"/>
      <c r="F221" s="422"/>
      <c r="G221" s="422"/>
      <c r="H221" s="422"/>
      <c r="I221" s="422"/>
      <c r="J221" s="422"/>
    </row>
    <row r="222" spans="1:11" ht="21">
      <c r="A222" s="422"/>
      <c r="B222" s="422"/>
      <c r="C222" s="422"/>
      <c r="D222" s="415">
        <f>SUM(D201:D221)</f>
        <v>441.21695262134961</v>
      </c>
      <c r="E222" s="422"/>
      <c r="F222" s="422">
        <f>SUM(F202:F221)</f>
        <v>372.0465595777423</v>
      </c>
      <c r="G222" s="422"/>
      <c r="H222" s="422">
        <f>SUM(H202:H221)</f>
        <v>216.76978151206137</v>
      </c>
      <c r="I222" s="423" t="s">
        <v>4433</v>
      </c>
      <c r="J222" s="423">
        <f>SUM(J201:J220)</f>
        <v>2299.2664059184417</v>
      </c>
    </row>
    <row r="223" spans="1:11" ht="21">
      <c r="A223" s="422"/>
      <c r="B223" s="422"/>
      <c r="C223" s="422"/>
      <c r="D223" s="422" t="s">
        <v>6</v>
      </c>
      <c r="E223" s="422"/>
      <c r="F223" s="422" t="s">
        <v>6</v>
      </c>
      <c r="G223" s="422"/>
      <c r="H223" s="422" t="s">
        <v>6</v>
      </c>
      <c r="I223" s="423" t="s">
        <v>5010</v>
      </c>
      <c r="J223" s="423">
        <v>1400</v>
      </c>
    </row>
    <row r="224" spans="1:11" ht="21">
      <c r="A224" s="422"/>
      <c r="B224" s="422"/>
      <c r="C224" s="422"/>
      <c r="D224" s="422"/>
      <c r="E224" s="422"/>
      <c r="F224" s="422"/>
      <c r="G224" s="422"/>
      <c r="H224" s="422"/>
      <c r="I224" s="423" t="s">
        <v>5011</v>
      </c>
      <c r="J224" s="423">
        <f>J223/J222</f>
        <v>0.6088898599989635</v>
      </c>
    </row>
    <row r="229" spans="1:11" ht="15.75">
      <c r="A229" s="176" t="s">
        <v>4823</v>
      </c>
      <c r="B229" s="176" t="s">
        <v>4824</v>
      </c>
      <c r="C229" s="427" t="s">
        <v>6929</v>
      </c>
      <c r="D229" s="176" t="s">
        <v>6928</v>
      </c>
      <c r="E229" s="427" t="s">
        <v>6930</v>
      </c>
      <c r="F229" s="176" t="s">
        <v>6931</v>
      </c>
      <c r="G229" s="176" t="s">
        <v>6434</v>
      </c>
      <c r="H229" s="176" t="s">
        <v>6941</v>
      </c>
      <c r="I229" s="176" t="s">
        <v>4245</v>
      </c>
      <c r="J229" s="176" t="s">
        <v>4908</v>
      </c>
      <c r="K229" s="416" t="s">
        <v>4653</v>
      </c>
    </row>
    <row r="230" spans="1:11" ht="15.75">
      <c r="A230" s="418" t="s">
        <v>6969</v>
      </c>
      <c r="B230" s="419">
        <v>66006193</v>
      </c>
      <c r="C230" s="419">
        <v>800</v>
      </c>
      <c r="D230" s="419">
        <f t="shared" ref="D230:D249" si="46">B230*C230/$K$230</f>
        <v>4.4004128666666666</v>
      </c>
      <c r="E230" s="418">
        <v>700</v>
      </c>
      <c r="F230" s="418">
        <f>B230*E230/$K$230</f>
        <v>3.8503612583333333</v>
      </c>
      <c r="G230" s="418">
        <v>650</v>
      </c>
      <c r="H230" s="418">
        <f>B230*G230/$K$230</f>
        <v>3.5753354541666669</v>
      </c>
      <c r="I230" s="418">
        <v>2386</v>
      </c>
      <c r="J230" s="418">
        <f>B230*I230/$K$230</f>
        <v>13.124231374833334</v>
      </c>
      <c r="K230" s="419">
        <v>12000000000</v>
      </c>
    </row>
    <row r="231" spans="1:11" ht="15.75">
      <c r="A231" s="420" t="s">
        <v>5788</v>
      </c>
      <c r="B231" s="419">
        <v>1285274355</v>
      </c>
      <c r="C231" s="421">
        <v>450</v>
      </c>
      <c r="D231" s="419">
        <f t="shared" si="46"/>
        <v>48.197788312500002</v>
      </c>
      <c r="E231" s="424">
        <v>308</v>
      </c>
      <c r="F231" s="418">
        <f t="shared" ref="F231:F250" si="47">B231*E231/$K$230</f>
        <v>32.988708445</v>
      </c>
      <c r="G231" s="420">
        <v>213</v>
      </c>
      <c r="H231" s="418">
        <f t="shared" ref="H231:H250" si="48">B231*G231/$K$230</f>
        <v>22.813619801249999</v>
      </c>
      <c r="I231" s="420">
        <v>2810</v>
      </c>
      <c r="J231" s="418">
        <f t="shared" ref="J231:J249" si="49">B231*I231/$K$230</f>
        <v>300.9684114625</v>
      </c>
      <c r="K231" s="434"/>
    </row>
    <row r="232" spans="1:11" ht="15.75">
      <c r="A232" s="418" t="s">
        <v>6963</v>
      </c>
      <c r="B232" s="419">
        <v>995049277</v>
      </c>
      <c r="C232" s="419">
        <v>260</v>
      </c>
      <c r="D232" s="419">
        <f t="shared" si="46"/>
        <v>21.559401001666668</v>
      </c>
      <c r="E232" s="426">
        <v>120</v>
      </c>
      <c r="F232" s="418">
        <f t="shared" si="47"/>
        <v>9.9504927700000003</v>
      </c>
      <c r="G232" s="418">
        <v>30</v>
      </c>
      <c r="H232" s="418">
        <f t="shared" si="48"/>
        <v>2.4876231925000001</v>
      </c>
      <c r="I232" s="418">
        <v>1107</v>
      </c>
      <c r="J232" s="418">
        <f t="shared" si="49"/>
        <v>91.793295803250004</v>
      </c>
      <c r="K232" s="434"/>
    </row>
    <row r="233" spans="1:11" ht="15.75">
      <c r="A233" s="420" t="s">
        <v>6964</v>
      </c>
      <c r="B233" s="421">
        <v>676410539</v>
      </c>
      <c r="C233" s="421">
        <v>300</v>
      </c>
      <c r="D233" s="419">
        <f t="shared" si="46"/>
        <v>16.910263475000001</v>
      </c>
      <c r="E233" s="424">
        <v>257</v>
      </c>
      <c r="F233" s="418">
        <f t="shared" si="47"/>
        <v>14.486459043583332</v>
      </c>
      <c r="G233" s="420">
        <v>130</v>
      </c>
      <c r="H233" s="418">
        <f t="shared" si="48"/>
        <v>7.3277808391666666</v>
      </c>
      <c r="I233" s="420">
        <v>1264</v>
      </c>
      <c r="J233" s="418">
        <f t="shared" si="49"/>
        <v>71.24857677466666</v>
      </c>
      <c r="K233" s="434"/>
    </row>
    <row r="234" spans="1:11" ht="15.75">
      <c r="A234" s="418" t="s">
        <v>6965</v>
      </c>
      <c r="B234" s="419">
        <v>213196988</v>
      </c>
      <c r="C234" s="419">
        <v>200</v>
      </c>
      <c r="D234" s="419">
        <f t="shared" si="46"/>
        <v>3.5532831333333332</v>
      </c>
      <c r="E234" s="426">
        <v>167</v>
      </c>
      <c r="F234" s="418">
        <f t="shared" si="47"/>
        <v>2.9669914163333333</v>
      </c>
      <c r="G234" s="418">
        <v>85</v>
      </c>
      <c r="H234" s="418">
        <f t="shared" si="48"/>
        <v>1.5101453316666666</v>
      </c>
      <c r="I234" s="418">
        <v>1650</v>
      </c>
      <c r="J234" s="418">
        <f t="shared" si="49"/>
        <v>29.31458585</v>
      </c>
      <c r="K234" s="434"/>
    </row>
    <row r="235" spans="1:11" ht="15.75">
      <c r="A235" s="420" t="s">
        <v>4216</v>
      </c>
      <c r="B235" s="421">
        <v>113533718</v>
      </c>
      <c r="C235" s="421">
        <v>300</v>
      </c>
      <c r="D235" s="419">
        <f t="shared" si="46"/>
        <v>2.8383429499999999</v>
      </c>
      <c r="E235" s="424">
        <v>230</v>
      </c>
      <c r="F235" s="418">
        <f t="shared" si="47"/>
        <v>2.1760629283333333</v>
      </c>
      <c r="G235" s="420">
        <v>200</v>
      </c>
      <c r="H235" s="418">
        <f t="shared" si="48"/>
        <v>1.8922286333333334</v>
      </c>
      <c r="I235" s="420">
        <v>1530</v>
      </c>
      <c r="J235" s="418">
        <f t="shared" si="49"/>
        <v>14.475549044999999</v>
      </c>
      <c r="K235" s="434"/>
    </row>
    <row r="236" spans="1:11" ht="15.75">
      <c r="A236" s="418" t="s">
        <v>6467</v>
      </c>
      <c r="B236" s="419">
        <v>1385388043</v>
      </c>
      <c r="C236" s="419">
        <v>350</v>
      </c>
      <c r="D236" s="419">
        <f t="shared" si="46"/>
        <v>40.407151254166664</v>
      </c>
      <c r="E236" s="426">
        <v>190</v>
      </c>
      <c r="F236" s="418">
        <f t="shared" si="47"/>
        <v>21.935310680833332</v>
      </c>
      <c r="G236" s="418">
        <v>130</v>
      </c>
      <c r="H236" s="418">
        <f t="shared" si="48"/>
        <v>15.008370465833334</v>
      </c>
      <c r="I236" s="418">
        <v>2200</v>
      </c>
      <c r="J236" s="418">
        <f t="shared" si="49"/>
        <v>253.98780788333335</v>
      </c>
      <c r="K236" s="434"/>
    </row>
    <row r="237" spans="1:11" ht="15.75">
      <c r="A237" s="420" t="s">
        <v>4509</v>
      </c>
      <c r="B237" s="421">
        <v>1246451029</v>
      </c>
      <c r="C237" s="421">
        <v>260</v>
      </c>
      <c r="D237" s="419">
        <f t="shared" si="46"/>
        <v>27.006438961666667</v>
      </c>
      <c r="E237" s="424">
        <v>130</v>
      </c>
      <c r="F237" s="418">
        <f t="shared" si="47"/>
        <v>13.503219480833334</v>
      </c>
      <c r="G237" s="420">
        <v>28</v>
      </c>
      <c r="H237" s="418">
        <f t="shared" si="48"/>
        <v>2.9083857343333333</v>
      </c>
      <c r="I237" s="420">
        <v>1315</v>
      </c>
      <c r="J237" s="418">
        <f t="shared" si="49"/>
        <v>136.59025859458333</v>
      </c>
      <c r="K237" s="434"/>
    </row>
    <row r="238" spans="1:11" ht="15.75">
      <c r="A238" s="418" t="s">
        <v>5795</v>
      </c>
      <c r="B238" s="419">
        <v>111005114</v>
      </c>
      <c r="C238" s="419">
        <v>250</v>
      </c>
      <c r="D238" s="419">
        <f t="shared" si="46"/>
        <v>2.3126065416666668</v>
      </c>
      <c r="E238" s="426">
        <v>223</v>
      </c>
      <c r="F238" s="418">
        <f t="shared" si="47"/>
        <v>2.0628450351666667</v>
      </c>
      <c r="G238" s="418">
        <v>80</v>
      </c>
      <c r="H238" s="418">
        <f t="shared" si="48"/>
        <v>0.74003409333333336</v>
      </c>
      <c r="I238" s="418">
        <v>1600</v>
      </c>
      <c r="J238" s="418">
        <f t="shared" si="49"/>
        <v>14.800681866666666</v>
      </c>
      <c r="K238" s="434"/>
    </row>
    <row r="239" spans="1:11" ht="15.75">
      <c r="A239" s="420" t="s">
        <v>4476</v>
      </c>
      <c r="B239" s="421">
        <v>7385687</v>
      </c>
      <c r="C239" s="421">
        <v>6000</v>
      </c>
      <c r="D239" s="419">
        <f t="shared" si="46"/>
        <v>3.6928434999999999</v>
      </c>
      <c r="E239" s="424">
        <v>5800</v>
      </c>
      <c r="F239" s="418">
        <f t="shared" si="47"/>
        <v>3.5697487166666666</v>
      </c>
      <c r="G239" s="420">
        <v>5800</v>
      </c>
      <c r="H239" s="418">
        <f t="shared" si="48"/>
        <v>3.5697487166666666</v>
      </c>
      <c r="I239" s="420">
        <v>40260</v>
      </c>
      <c r="J239" s="418">
        <f t="shared" si="49"/>
        <v>24.778979884999998</v>
      </c>
      <c r="K239" s="434"/>
    </row>
    <row r="240" spans="1:11" ht="15.75">
      <c r="A240" s="418" t="s">
        <v>6966</v>
      </c>
      <c r="B240" s="419">
        <v>471875451</v>
      </c>
      <c r="C240" s="419">
        <v>0</v>
      </c>
      <c r="D240" s="419">
        <f t="shared" si="46"/>
        <v>0</v>
      </c>
      <c r="E240" s="426">
        <v>0</v>
      </c>
      <c r="F240" s="418">
        <f t="shared" si="47"/>
        <v>0</v>
      </c>
      <c r="G240" s="418">
        <v>0</v>
      </c>
      <c r="H240" s="418">
        <f t="shared" si="48"/>
        <v>0</v>
      </c>
      <c r="I240" s="418">
        <v>2100</v>
      </c>
      <c r="J240" s="418">
        <f t="shared" si="49"/>
        <v>82.578203924999997</v>
      </c>
      <c r="K240" s="434"/>
    </row>
    <row r="241" spans="1:12" ht="18.75">
      <c r="A241" s="420" t="s">
        <v>4830</v>
      </c>
      <c r="B241" s="421">
        <v>84202942</v>
      </c>
      <c r="C241" s="421">
        <v>3000</v>
      </c>
      <c r="D241" s="419">
        <f t="shared" si="46"/>
        <v>21.050735499999998</v>
      </c>
      <c r="E241" s="424">
        <v>2100</v>
      </c>
      <c r="F241" s="418">
        <f t="shared" si="47"/>
        <v>14.735514849999999</v>
      </c>
      <c r="G241" s="437">
        <v>1800</v>
      </c>
      <c r="H241" s="418">
        <f t="shared" si="48"/>
        <v>12.630441299999999</v>
      </c>
      <c r="I241" s="420">
        <v>17768</v>
      </c>
      <c r="J241" s="418">
        <f t="shared" si="49"/>
        <v>124.67648945466667</v>
      </c>
      <c r="K241" s="434"/>
    </row>
    <row r="242" spans="1:12" ht="15.75">
      <c r="A242" s="418" t="s">
        <v>4358</v>
      </c>
      <c r="B242" s="419">
        <v>6727696</v>
      </c>
      <c r="C242" s="419">
        <v>4500</v>
      </c>
      <c r="D242" s="419">
        <f t="shared" si="46"/>
        <v>2.5228860000000002</v>
      </c>
      <c r="E242" s="426">
        <v>2400</v>
      </c>
      <c r="F242" s="418">
        <f t="shared" si="47"/>
        <v>1.3455391999999999</v>
      </c>
      <c r="G242" s="418">
        <v>2300</v>
      </c>
      <c r="H242" s="418">
        <f t="shared" si="48"/>
        <v>1.2894750666666666</v>
      </c>
      <c r="I242" s="418">
        <v>29290</v>
      </c>
      <c r="J242" s="418">
        <f t="shared" si="49"/>
        <v>16.421184653333334</v>
      </c>
      <c r="K242" s="434"/>
    </row>
    <row r="243" spans="1:12" ht="15.75">
      <c r="A243" s="420" t="s">
        <v>5846</v>
      </c>
      <c r="B243" s="421">
        <v>288259927</v>
      </c>
      <c r="C243" s="421">
        <v>550</v>
      </c>
      <c r="D243" s="419">
        <f t="shared" si="46"/>
        <v>13.211913320833334</v>
      </c>
      <c r="E243" s="424">
        <v>430</v>
      </c>
      <c r="F243" s="418">
        <f t="shared" si="47"/>
        <v>10.329314050833334</v>
      </c>
      <c r="G243" s="420">
        <v>380</v>
      </c>
      <c r="H243" s="418">
        <f t="shared" si="48"/>
        <v>9.1282310216666662</v>
      </c>
      <c r="I243" s="420">
        <v>3341</v>
      </c>
      <c r="J243" s="418">
        <f t="shared" si="49"/>
        <v>80.256368008916667</v>
      </c>
      <c r="K243" s="434" t="s">
        <v>25</v>
      </c>
    </row>
    <row r="244" spans="1:12" ht="15.75">
      <c r="A244" s="418" t="s">
        <v>5794</v>
      </c>
      <c r="B244" s="419">
        <v>103608037</v>
      </c>
      <c r="C244" s="419">
        <v>160</v>
      </c>
      <c r="D244" s="419">
        <f t="shared" si="46"/>
        <v>1.3814404933333333</v>
      </c>
      <c r="E244" s="418">
        <v>134</v>
      </c>
      <c r="F244" s="418">
        <f t="shared" si="47"/>
        <v>1.1569564131666668</v>
      </c>
      <c r="G244" s="418">
        <v>60</v>
      </c>
      <c r="H244" s="418">
        <f t="shared" si="48"/>
        <v>0.51804018500000004</v>
      </c>
      <c r="I244" s="418">
        <v>1235</v>
      </c>
      <c r="J244" s="418">
        <f t="shared" si="49"/>
        <v>10.662993807916667</v>
      </c>
      <c r="K244" s="434" t="s">
        <v>25</v>
      </c>
    </row>
    <row r="245" spans="1:12" ht="15.75">
      <c r="A245" s="420" t="s">
        <v>5762</v>
      </c>
      <c r="B245" s="421">
        <v>38247354</v>
      </c>
      <c r="C245" s="421">
        <v>1000</v>
      </c>
      <c r="D245" s="419">
        <f t="shared" si="46"/>
        <v>3.1872794999999998</v>
      </c>
      <c r="E245" s="420">
        <v>727</v>
      </c>
      <c r="F245" s="418">
        <f t="shared" si="47"/>
        <v>2.3171521964999999</v>
      </c>
      <c r="G245" s="420">
        <v>650</v>
      </c>
      <c r="H245" s="418">
        <f t="shared" si="48"/>
        <v>2.0717316750000001</v>
      </c>
      <c r="I245" s="420">
        <v>4805</v>
      </c>
      <c r="J245" s="418">
        <f t="shared" si="49"/>
        <v>15.3148779975</v>
      </c>
      <c r="K245" s="434"/>
    </row>
    <row r="246" spans="1:12" ht="15.75">
      <c r="A246" s="418" t="s">
        <v>6967</v>
      </c>
      <c r="B246" s="419">
        <v>79825258</v>
      </c>
      <c r="C246" s="419">
        <v>250</v>
      </c>
      <c r="D246" s="419">
        <f t="shared" si="46"/>
        <v>1.6630262083333334</v>
      </c>
      <c r="E246" s="418">
        <v>197</v>
      </c>
      <c r="F246" s="418">
        <f t="shared" si="47"/>
        <v>1.3104646521666667</v>
      </c>
      <c r="G246" s="418">
        <v>180</v>
      </c>
      <c r="H246" s="418">
        <f t="shared" si="48"/>
        <v>1.1973788700000001</v>
      </c>
      <c r="I246" s="418">
        <v>2370</v>
      </c>
      <c r="J246" s="418">
        <f t="shared" si="49"/>
        <v>15.765488455</v>
      </c>
      <c r="K246" s="434"/>
    </row>
    <row r="247" spans="1:12" ht="15.75">
      <c r="A247" s="420" t="s">
        <v>4354</v>
      </c>
      <c r="B247" s="421">
        <v>6427897</v>
      </c>
      <c r="C247" s="421">
        <v>3000</v>
      </c>
      <c r="D247" s="419">
        <f t="shared" si="46"/>
        <v>1.6069742499999999</v>
      </c>
      <c r="E247" s="420">
        <v>2037</v>
      </c>
      <c r="F247" s="418">
        <f t="shared" si="47"/>
        <v>1.09113551575</v>
      </c>
      <c r="G247" s="420">
        <v>2000</v>
      </c>
      <c r="H247" s="418">
        <f t="shared" si="48"/>
        <v>1.0713161666666666</v>
      </c>
      <c r="I247" s="420">
        <v>18724</v>
      </c>
      <c r="J247" s="418">
        <f t="shared" si="49"/>
        <v>10.029661952333333</v>
      </c>
      <c r="K247" s="434"/>
    </row>
    <row r="248" spans="1:12" ht="15.75">
      <c r="A248" s="418" t="s">
        <v>5789</v>
      </c>
      <c r="B248" s="419">
        <v>131231371</v>
      </c>
      <c r="C248" s="419">
        <v>300</v>
      </c>
      <c r="D248" s="419">
        <f t="shared" si="46"/>
        <v>3.2807842749999998</v>
      </c>
      <c r="E248" s="418">
        <v>173</v>
      </c>
      <c r="F248" s="418">
        <f t="shared" si="47"/>
        <v>1.8919189319166667</v>
      </c>
      <c r="G248" s="418">
        <v>170</v>
      </c>
      <c r="H248" s="418">
        <f t="shared" si="48"/>
        <v>1.8591110891666667</v>
      </c>
      <c r="I248" s="418">
        <v>4454</v>
      </c>
      <c r="J248" s="418">
        <f t="shared" si="49"/>
        <v>48.70871053616667</v>
      </c>
      <c r="K248" s="434"/>
    </row>
    <row r="249" spans="1:12" ht="15.75">
      <c r="A249" s="420" t="s">
        <v>6968</v>
      </c>
      <c r="B249" s="421">
        <v>891943775</v>
      </c>
      <c r="C249" s="421">
        <v>0</v>
      </c>
      <c r="D249" s="419">
        <f t="shared" si="46"/>
        <v>0</v>
      </c>
      <c r="E249" s="421">
        <v>0</v>
      </c>
      <c r="F249" s="418">
        <f t="shared" si="47"/>
        <v>0</v>
      </c>
      <c r="G249" s="421">
        <v>0</v>
      </c>
      <c r="H249" s="418">
        <f t="shared" si="48"/>
        <v>0</v>
      </c>
      <c r="I249" s="420">
        <v>1100</v>
      </c>
      <c r="J249" s="418">
        <f t="shared" si="49"/>
        <v>81.761512708333328</v>
      </c>
      <c r="K249" s="434"/>
    </row>
    <row r="250" spans="1:12" ht="15.75">
      <c r="A250" s="420" t="s">
        <v>6936</v>
      </c>
      <c r="B250" s="421">
        <v>1</v>
      </c>
      <c r="C250" s="421">
        <v>500000000000</v>
      </c>
      <c r="D250" s="419">
        <f>B250*C250/$K$230</f>
        <v>41.666666666666664</v>
      </c>
      <c r="E250" s="421">
        <v>500000000000</v>
      </c>
      <c r="F250" s="418">
        <f t="shared" si="47"/>
        <v>41.666666666666664</v>
      </c>
      <c r="G250" s="421">
        <v>300000000000</v>
      </c>
      <c r="H250" s="418">
        <f t="shared" si="48"/>
        <v>25</v>
      </c>
      <c r="I250" s="420">
        <v>3000000000000</v>
      </c>
      <c r="J250" s="418">
        <f>B250*I250/$K$230</f>
        <v>250</v>
      </c>
      <c r="K250" s="434"/>
      <c r="L250" t="s">
        <v>25</v>
      </c>
    </row>
    <row r="251" spans="1:12" ht="15.75">
      <c r="A251" s="422"/>
      <c r="B251" s="415"/>
      <c r="C251" s="415"/>
      <c r="D251" s="415"/>
      <c r="E251" s="422"/>
      <c r="F251" s="422"/>
      <c r="G251" s="422"/>
      <c r="H251" s="422"/>
      <c r="I251" s="422"/>
      <c r="J251" s="422"/>
      <c r="K251" s="434"/>
    </row>
    <row r="252" spans="1:12" ht="21">
      <c r="A252" s="422"/>
      <c r="B252" s="422"/>
      <c r="C252" s="422"/>
      <c r="D252" s="415">
        <f>SUM(D230:D251)</f>
        <v>260.45023821083339</v>
      </c>
      <c r="E252" s="422"/>
      <c r="F252" s="422">
        <f>SUM(F231:F251)</f>
        <v>179.48450099375</v>
      </c>
      <c r="G252" s="422"/>
      <c r="H252" s="422">
        <f>SUM(H231:H251)</f>
        <v>113.02366218224998</v>
      </c>
      <c r="I252" s="423" t="s">
        <v>4433</v>
      </c>
      <c r="J252" s="423">
        <f>SUM(J230:J250)</f>
        <v>1687.2578700389997</v>
      </c>
      <c r="K252" s="434"/>
    </row>
    <row r="253" spans="1:12" ht="21">
      <c r="A253" s="422"/>
      <c r="B253" s="422"/>
      <c r="C253" s="422"/>
      <c r="D253" s="422" t="s">
        <v>6</v>
      </c>
      <c r="E253" s="422"/>
      <c r="F253" s="422" t="s">
        <v>6</v>
      </c>
      <c r="G253" s="422"/>
      <c r="H253" s="422" t="s">
        <v>6</v>
      </c>
      <c r="I253" s="423" t="s">
        <v>5010</v>
      </c>
      <c r="J253" s="423">
        <v>805</v>
      </c>
      <c r="K253" s="434"/>
    </row>
    <row r="254" spans="1:12" ht="21">
      <c r="A254" s="422"/>
      <c r="B254" s="422"/>
      <c r="C254" s="422"/>
      <c r="D254" s="422"/>
      <c r="E254" s="422"/>
      <c r="F254" s="422"/>
      <c r="G254" s="422"/>
      <c r="H254" s="422"/>
      <c r="I254" s="423" t="s">
        <v>5011</v>
      </c>
      <c r="J254" s="423">
        <f>J253/J252</f>
        <v>0.47710549424279347</v>
      </c>
    </row>
    <row r="257" spans="1:10">
      <c r="A257" s="476" t="s">
        <v>4245</v>
      </c>
      <c r="B257" s="476">
        <v>17800</v>
      </c>
      <c r="C257" s="477"/>
      <c r="D257" s="477"/>
      <c r="E257" s="477"/>
      <c r="F257" s="477"/>
      <c r="G257" s="477"/>
      <c r="H257" s="477"/>
      <c r="I257" s="477"/>
      <c r="J257" s="477"/>
    </row>
    <row r="258" spans="1:10">
      <c r="A258" s="476" t="s">
        <v>7104</v>
      </c>
      <c r="B258" s="476">
        <v>4000</v>
      </c>
      <c r="C258" s="477"/>
      <c r="D258" s="477"/>
      <c r="E258" s="477"/>
      <c r="F258" s="477"/>
      <c r="G258" s="477"/>
      <c r="H258" s="477"/>
      <c r="I258" s="477"/>
      <c r="J258" s="477"/>
    </row>
    <row r="259" spans="1:10">
      <c r="A259" s="476" t="s">
        <v>7103</v>
      </c>
      <c r="B259" s="476">
        <v>2134</v>
      </c>
      <c r="C259" s="477"/>
      <c r="D259" s="477"/>
      <c r="E259" s="477"/>
      <c r="F259" s="477"/>
      <c r="G259" s="477"/>
      <c r="H259" s="477"/>
      <c r="I259" s="477"/>
      <c r="J259" s="477"/>
    </row>
    <row r="260" spans="1:10" ht="45">
      <c r="A260" s="478"/>
      <c r="B260" s="476" t="s">
        <v>7098</v>
      </c>
      <c r="C260" s="476" t="s">
        <v>4830</v>
      </c>
      <c r="D260" s="476" t="s">
        <v>5846</v>
      </c>
      <c r="E260" s="478" t="s">
        <v>4216</v>
      </c>
      <c r="F260" s="478" t="s">
        <v>7099</v>
      </c>
      <c r="G260" s="478" t="s">
        <v>7100</v>
      </c>
      <c r="H260" s="481" t="s">
        <v>7101</v>
      </c>
      <c r="I260" s="479" t="s">
        <v>7102</v>
      </c>
      <c r="J260" s="479" t="s">
        <v>7105</v>
      </c>
    </row>
    <row r="261" spans="1:10" ht="15.75">
      <c r="A261" s="476" t="s">
        <v>4830</v>
      </c>
      <c r="B261" s="480">
        <v>6000000000</v>
      </c>
      <c r="C261" s="480">
        <v>0</v>
      </c>
      <c r="D261" s="480">
        <v>0</v>
      </c>
      <c r="E261" s="480">
        <v>0</v>
      </c>
      <c r="F261" s="480"/>
      <c r="G261" s="480"/>
      <c r="H261" s="480"/>
      <c r="I261" s="480"/>
      <c r="J261" s="480"/>
    </row>
    <row r="262" spans="1:10" ht="15.75">
      <c r="A262" s="476" t="s">
        <v>5846</v>
      </c>
      <c r="B262" s="480">
        <v>40500000000</v>
      </c>
      <c r="C262" s="480">
        <v>4127266661</v>
      </c>
      <c r="D262" s="480">
        <v>0</v>
      </c>
      <c r="E262" s="480">
        <v>0</v>
      </c>
      <c r="F262" s="480">
        <f>C262</f>
        <v>4127266661</v>
      </c>
      <c r="G262" s="480">
        <f>F262*$B$257</f>
        <v>73465346565800</v>
      </c>
      <c r="H262" s="480">
        <f>G262/B262</f>
        <v>1813.9591744641975</v>
      </c>
      <c r="I262" s="480">
        <f>F262*$B$259/B262</f>
        <v>217.47128529812346</v>
      </c>
      <c r="J262" s="480">
        <f>F262*$B$258/B262</f>
        <v>407.63127516049383</v>
      </c>
    </row>
    <row r="263" spans="1:10" ht="15.75">
      <c r="A263" s="476" t="s">
        <v>4216</v>
      </c>
      <c r="B263" s="480">
        <v>72000000000</v>
      </c>
      <c r="C263" s="480">
        <v>8000</v>
      </c>
      <c r="D263" s="480">
        <v>27500000000</v>
      </c>
      <c r="E263" s="480">
        <v>0</v>
      </c>
      <c r="F263" s="480">
        <f>C263+(D263/B262)*F262</f>
        <v>2802473016.728395</v>
      </c>
      <c r="G263" s="480">
        <f>F263*$B$257</f>
        <v>49884019697765.43</v>
      </c>
      <c r="H263" s="480">
        <f t="shared" ref="H263:H265" si="50">G263/B263</f>
        <v>692.83360691340874</v>
      </c>
      <c r="I263" s="480">
        <f>F263*$B$259/B263</f>
        <v>83.06218635692214</v>
      </c>
      <c r="J263" s="480">
        <f>F263*$B$258/B263</f>
        <v>155.69294537379972</v>
      </c>
    </row>
    <row r="264" spans="1:10" ht="15.75">
      <c r="A264" s="476" t="s">
        <v>4653</v>
      </c>
      <c r="B264" s="480">
        <v>12000000000</v>
      </c>
      <c r="C264" s="480">
        <v>84902942</v>
      </c>
      <c r="D264" s="480">
        <v>296603601</v>
      </c>
      <c r="E264" s="480">
        <v>113533718</v>
      </c>
      <c r="F264" s="480">
        <f>C264+(D264/B262)*F262+(E264/B263)*F263</f>
        <v>119548267.76187068</v>
      </c>
      <c r="G264" s="480">
        <f>F264*$B$257</f>
        <v>2127959166161.2981</v>
      </c>
      <c r="H264" s="480">
        <f t="shared" si="50"/>
        <v>177.3299305134415</v>
      </c>
      <c r="I264" s="480">
        <f>F264*$B$259/B264</f>
        <v>21.259666950319335</v>
      </c>
      <c r="J264" s="480">
        <f>F264*$B$258/B264</f>
        <v>39.849422587290228</v>
      </c>
    </row>
    <row r="265" spans="1:10" ht="15.75">
      <c r="A265" s="476" t="s">
        <v>5262</v>
      </c>
      <c r="B265" s="480">
        <v>30000000000</v>
      </c>
      <c r="C265" s="480">
        <v>0</v>
      </c>
      <c r="D265" s="480">
        <v>0</v>
      </c>
      <c r="E265" s="480">
        <v>3356161798</v>
      </c>
      <c r="F265" s="480">
        <f>(E265/B263)*F263</f>
        <v>130632678.87041186</v>
      </c>
      <c r="G265" s="480">
        <f>F265*$B$257</f>
        <v>2325261683893.3311</v>
      </c>
      <c r="H265" s="480">
        <f t="shared" si="50"/>
        <v>77.508722796444374</v>
      </c>
      <c r="I265" s="480">
        <f>F265*$B$259/B265</f>
        <v>9.2923378903152969</v>
      </c>
      <c r="J265" s="480">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4805</v>
      </c>
      <c r="E1" t="s">
        <v>4806</v>
      </c>
      <c r="F1" t="s">
        <v>8</v>
      </c>
    </row>
    <row r="2" spans="1:6">
      <c r="A2" t="s">
        <v>4809</v>
      </c>
      <c r="B2">
        <v>237</v>
      </c>
      <c r="C2">
        <v>281</v>
      </c>
      <c r="D2">
        <f>B2/C2</f>
        <v>0.84341637010676151</v>
      </c>
      <c r="E2" t="s">
        <v>4810</v>
      </c>
      <c r="F2" t="s">
        <v>4811</v>
      </c>
    </row>
    <row r="3" spans="1:6">
      <c r="A3" t="s">
        <v>4478</v>
      </c>
      <c r="B3">
        <v>134</v>
      </c>
      <c r="C3">
        <v>193</v>
      </c>
      <c r="D3" s="94">
        <f t="shared" ref="D3:D21" si="0">B3/C3</f>
        <v>0.69430051813471505</v>
      </c>
      <c r="E3" t="s">
        <v>4810</v>
      </c>
      <c r="F3" s="94" t="s">
        <v>4811</v>
      </c>
    </row>
    <row r="4" spans="1:6">
      <c r="A4" t="s">
        <v>4812</v>
      </c>
      <c r="B4">
        <v>195</v>
      </c>
      <c r="C4">
        <v>73</v>
      </c>
      <c r="D4" s="94">
        <f t="shared" si="0"/>
        <v>2.6712328767123288</v>
      </c>
      <c r="E4" t="s">
        <v>4813</v>
      </c>
      <c r="F4" t="s">
        <v>4814</v>
      </c>
    </row>
    <row r="5" spans="1:6">
      <c r="A5" t="s">
        <v>4815</v>
      </c>
      <c r="B5">
        <v>1</v>
      </c>
      <c r="C5">
        <v>1</v>
      </c>
      <c r="D5" s="94">
        <f t="shared" si="0"/>
        <v>1</v>
      </c>
      <c r="E5" t="s">
        <v>4813</v>
      </c>
      <c r="F5" t="s">
        <v>4816</v>
      </c>
    </row>
    <row r="6" spans="1:6">
      <c r="A6" t="s">
        <v>4517</v>
      </c>
      <c r="B6">
        <v>163</v>
      </c>
      <c r="C6">
        <v>232</v>
      </c>
      <c r="D6" s="94">
        <f t="shared" si="0"/>
        <v>0.70258620689655171</v>
      </c>
      <c r="F6" s="94" t="s">
        <v>4811</v>
      </c>
    </row>
    <row r="7" spans="1:6">
      <c r="A7" t="s">
        <v>4817</v>
      </c>
      <c r="B7">
        <v>247</v>
      </c>
      <c r="C7">
        <v>250</v>
      </c>
      <c r="D7" s="94">
        <f t="shared" si="0"/>
        <v>0.98799999999999999</v>
      </c>
    </row>
    <row r="8" spans="1:6">
      <c r="A8" t="s">
        <v>4818</v>
      </c>
      <c r="B8">
        <v>335</v>
      </c>
      <c r="C8">
        <v>141</v>
      </c>
      <c r="D8" s="94">
        <f t="shared" si="0"/>
        <v>2.375886524822695</v>
      </c>
      <c r="F8" s="94" t="s">
        <v>4816</v>
      </c>
    </row>
    <row r="9" spans="1:6">
      <c r="A9" t="s">
        <v>4710</v>
      </c>
      <c r="B9">
        <v>150</v>
      </c>
      <c r="C9">
        <v>240</v>
      </c>
      <c r="D9" s="94">
        <f t="shared" si="0"/>
        <v>0.625</v>
      </c>
      <c r="F9" t="s">
        <v>4819</v>
      </c>
    </row>
    <row r="10" spans="1:6">
      <c r="A10" t="s">
        <v>4820</v>
      </c>
      <c r="B10">
        <v>187</v>
      </c>
      <c r="C10">
        <v>208</v>
      </c>
      <c r="D10" s="94">
        <f t="shared" si="0"/>
        <v>0.89903846153846156</v>
      </c>
      <c r="F10" t="s">
        <v>4810</v>
      </c>
    </row>
    <row r="11" spans="1:6">
      <c r="A11" t="s">
        <v>4821</v>
      </c>
      <c r="B11">
        <v>412</v>
      </c>
      <c r="C11">
        <v>183</v>
      </c>
      <c r="D11" s="94">
        <f t="shared" si="0"/>
        <v>2.2513661202185791</v>
      </c>
      <c r="F11" s="94" t="s">
        <v>4816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4804</v>
      </c>
      <c r="B21">
        <v>113</v>
      </c>
      <c r="C21">
        <v>215</v>
      </c>
      <c r="D21" s="94">
        <f t="shared" si="0"/>
        <v>0.52558139534883719</v>
      </c>
      <c r="E21" t="s">
        <v>4807</v>
      </c>
      <c r="F21" t="s">
        <v>4808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4755</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4757</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4754</v>
      </c>
      <c r="B4" s="18">
        <v>-960200</v>
      </c>
      <c r="C4" s="18">
        <v>0</v>
      </c>
      <c r="D4" s="111">
        <f t="shared" si="0"/>
        <v>-960200</v>
      </c>
      <c r="E4" s="97" t="s">
        <v>4758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4759</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4756</v>
      </c>
      <c r="F42" s="94"/>
      <c r="G42" s="94"/>
      <c r="H42" s="94"/>
      <c r="I42" s="94"/>
      <c r="J42" s="94"/>
      <c r="K42" s="94"/>
      <c r="L42" s="94"/>
      <c r="M42" s="94"/>
      <c r="N42" s="94"/>
      <c r="O42" s="94"/>
      <c r="P42" s="94"/>
      <c r="Q42" s="94"/>
      <c r="R42" s="94"/>
      <c r="S42" s="94"/>
      <c r="T42" s="94"/>
      <c r="U42" s="94"/>
    </row>
    <row r="43" spans="1:21">
      <c r="A43" s="94"/>
      <c r="B43" s="94"/>
      <c r="C43" s="94"/>
      <c r="D43" s="18">
        <v>252830</v>
      </c>
      <c r="E43" s="120" t="s">
        <v>4761</v>
      </c>
      <c r="F43" s="94"/>
      <c r="G43" s="94"/>
      <c r="H43" s="94"/>
      <c r="I43" s="94"/>
      <c r="J43" s="94"/>
      <c r="K43" s="94"/>
      <c r="L43" s="94"/>
      <c r="M43" s="94"/>
      <c r="N43" s="94"/>
      <c r="O43" s="94"/>
      <c r="P43" s="94"/>
      <c r="Q43" s="94"/>
      <c r="R43" s="94"/>
      <c r="S43" s="94"/>
      <c r="T43" s="94"/>
      <c r="U43" s="94"/>
    </row>
    <row r="44" spans="1:21">
      <c r="A44" s="94"/>
      <c r="B44" s="94"/>
      <c r="C44" s="94"/>
      <c r="D44" s="18">
        <v>178820</v>
      </c>
      <c r="E44" s="120" t="s">
        <v>4765</v>
      </c>
      <c r="F44" s="94"/>
      <c r="G44" s="94"/>
      <c r="H44" s="94"/>
      <c r="I44" s="94"/>
      <c r="J44" s="94"/>
      <c r="K44" s="94"/>
      <c r="L44" s="94"/>
      <c r="M44" s="94"/>
      <c r="N44" s="94"/>
      <c r="O44" s="94"/>
      <c r="P44" s="94"/>
      <c r="Q44" s="94"/>
      <c r="R44" s="94"/>
      <c r="S44" s="94"/>
      <c r="T44" s="94"/>
      <c r="U44" s="94"/>
    </row>
    <row r="45" spans="1:21">
      <c r="A45" s="94"/>
      <c r="B45" s="94"/>
      <c r="C45" s="94"/>
      <c r="D45" s="18">
        <v>382000</v>
      </c>
      <c r="E45" s="120" t="s">
        <v>4772</v>
      </c>
      <c r="F45" s="94"/>
      <c r="G45" s="94"/>
      <c r="H45" s="94"/>
      <c r="I45" s="94"/>
      <c r="J45" s="94"/>
      <c r="K45" s="94"/>
      <c r="L45" s="94"/>
      <c r="M45" s="94"/>
      <c r="N45" s="94"/>
      <c r="O45" s="94"/>
      <c r="P45" s="94"/>
      <c r="Q45" s="94"/>
      <c r="R45" s="94"/>
      <c r="S45" s="94"/>
      <c r="T45" s="94"/>
      <c r="U45" s="94"/>
    </row>
    <row r="46" spans="1:21">
      <c r="A46" s="94"/>
      <c r="B46" s="94"/>
      <c r="C46" s="94"/>
      <c r="D46" s="18">
        <v>-200000</v>
      </c>
      <c r="E46" s="120" t="s">
        <v>4773</v>
      </c>
      <c r="F46" s="94"/>
      <c r="G46" s="94"/>
      <c r="H46" s="94"/>
      <c r="I46" s="94"/>
      <c r="J46" s="94"/>
      <c r="K46" s="94"/>
      <c r="L46" s="94"/>
      <c r="M46" s="94"/>
      <c r="N46" s="94"/>
      <c r="O46" s="94"/>
      <c r="P46" s="94"/>
      <c r="Q46" s="94"/>
      <c r="R46" s="94"/>
      <c r="S46" s="94"/>
      <c r="T46" s="94"/>
      <c r="U46" s="94"/>
    </row>
    <row r="47" spans="1:21">
      <c r="A47" s="94"/>
      <c r="B47" s="94"/>
      <c r="C47" s="94"/>
      <c r="D47" s="18">
        <v>-2336075</v>
      </c>
      <c r="E47" s="120" t="s">
        <v>4776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4788</v>
      </c>
      <c r="F50" s="94"/>
      <c r="G50" s="94"/>
      <c r="H50" s="94"/>
      <c r="I50" s="94"/>
      <c r="J50" s="94"/>
      <c r="K50" s="94"/>
      <c r="L50" s="94"/>
      <c r="M50" s="94"/>
      <c r="N50" s="94"/>
      <c r="O50" s="94"/>
      <c r="P50" s="94"/>
      <c r="Q50" s="94"/>
      <c r="R50" s="94"/>
      <c r="S50" s="94"/>
      <c r="T50" s="94"/>
      <c r="U50" s="94"/>
    </row>
    <row r="51" spans="1:21">
      <c r="A51" s="94"/>
      <c r="B51" s="94"/>
      <c r="C51" s="94"/>
      <c r="D51" s="18">
        <v>-40000</v>
      </c>
      <c r="E51" s="120" t="s">
        <v>4789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4800</v>
      </c>
      <c r="F52" s="94"/>
      <c r="G52" s="94"/>
      <c r="H52" s="94"/>
      <c r="I52" s="94"/>
      <c r="J52" s="94"/>
      <c r="K52" s="94"/>
      <c r="L52" s="94"/>
      <c r="M52" s="94"/>
      <c r="N52" s="94"/>
      <c r="O52" s="94"/>
      <c r="P52" s="94"/>
      <c r="Q52" s="94"/>
      <c r="R52" s="94"/>
      <c r="S52" s="94"/>
      <c r="T52" s="94"/>
      <c r="U52" s="94"/>
    </row>
    <row r="53" spans="1:21">
      <c r="A53" s="94"/>
      <c r="B53" s="94"/>
      <c r="C53" s="94"/>
      <c r="D53" s="18">
        <v>160000</v>
      </c>
      <c r="E53" s="120" t="s">
        <v>4803</v>
      </c>
      <c r="F53" s="94"/>
      <c r="G53" s="94"/>
      <c r="H53" s="94"/>
      <c r="I53" s="94"/>
      <c r="J53" s="94"/>
      <c r="K53" s="94"/>
      <c r="L53" s="94"/>
      <c r="M53" s="94"/>
      <c r="N53" s="94"/>
      <c r="O53" s="94"/>
      <c r="P53" s="94"/>
      <c r="Q53" s="94"/>
      <c r="R53" s="94"/>
      <c r="S53" s="94"/>
      <c r="T53" s="94"/>
      <c r="U53" s="94"/>
    </row>
    <row r="54" spans="1:21">
      <c r="A54" s="94"/>
      <c r="B54" s="94"/>
      <c r="C54" s="94"/>
      <c r="D54" s="18">
        <v>-224012</v>
      </c>
      <c r="E54" s="120" t="s">
        <v>4833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4834</v>
      </c>
      <c r="F55" s="112"/>
      <c r="G55" s="41"/>
      <c r="H55" s="94"/>
      <c r="I55" s="94"/>
      <c r="J55" s="94"/>
      <c r="K55" s="94"/>
      <c r="L55" s="94"/>
      <c r="M55" s="94"/>
      <c r="N55" s="94"/>
      <c r="O55" s="94"/>
      <c r="P55" s="94"/>
      <c r="Q55" s="94"/>
      <c r="R55" s="94"/>
      <c r="S55" s="94"/>
      <c r="T55" s="94"/>
      <c r="U55" s="94"/>
    </row>
    <row r="56" spans="1:21">
      <c r="A56" s="94"/>
      <c r="B56" s="94"/>
      <c r="C56" s="94"/>
      <c r="D56" s="18">
        <v>1465000</v>
      </c>
      <c r="E56" s="120" t="s">
        <v>4841</v>
      </c>
      <c r="F56" s="112"/>
      <c r="G56" s="41"/>
      <c r="H56" s="94"/>
      <c r="I56" s="94"/>
      <c r="J56" s="94"/>
      <c r="K56" s="94"/>
      <c r="L56" s="94"/>
      <c r="M56" s="94"/>
      <c r="N56" s="94"/>
      <c r="O56" s="94"/>
      <c r="P56" s="94"/>
      <c r="Q56" s="94"/>
      <c r="R56" s="94"/>
      <c r="S56" s="94"/>
      <c r="T56" s="94"/>
      <c r="U56" s="94"/>
    </row>
    <row r="57" spans="1:21">
      <c r="A57" s="94"/>
      <c r="B57" s="94"/>
      <c r="C57" s="94"/>
      <c r="D57" s="18">
        <v>2600000</v>
      </c>
      <c r="E57" s="120" t="s">
        <v>4871</v>
      </c>
      <c r="F57" s="112"/>
      <c r="G57" s="41"/>
      <c r="H57" s="94"/>
      <c r="I57" s="94"/>
      <c r="J57" s="94"/>
      <c r="K57" s="94"/>
      <c r="L57" s="94"/>
      <c r="M57" s="94"/>
      <c r="N57" s="94"/>
      <c r="O57" s="94"/>
      <c r="P57" s="94"/>
      <c r="Q57" s="94"/>
      <c r="R57" s="94"/>
      <c r="S57" s="94"/>
      <c r="T57" s="94"/>
      <c r="U57" s="94"/>
    </row>
    <row r="58" spans="1:21">
      <c r="A58" s="94"/>
      <c r="B58" s="94"/>
      <c r="C58" s="94"/>
      <c r="D58" s="18">
        <v>-1170000</v>
      </c>
      <c r="E58" s="120" t="s">
        <v>4880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4879</v>
      </c>
      <c r="F59" s="112"/>
      <c r="G59" s="94"/>
      <c r="H59" s="94"/>
      <c r="I59" s="94"/>
      <c r="J59" s="94"/>
      <c r="K59" s="94"/>
      <c r="L59" s="94"/>
      <c r="M59" s="94"/>
      <c r="N59" s="94"/>
      <c r="O59" s="94"/>
      <c r="P59" s="94"/>
      <c r="Q59" s="94"/>
      <c r="R59" s="94"/>
      <c r="S59" s="94"/>
      <c r="T59" s="94"/>
      <c r="U59" s="94"/>
    </row>
    <row r="60" spans="1:21">
      <c r="A60" s="94"/>
      <c r="B60" s="94"/>
      <c r="C60" s="94"/>
      <c r="D60" s="18">
        <v>360000</v>
      </c>
      <c r="E60" s="120" t="s">
        <v>4887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4904</v>
      </c>
      <c r="F61" s="94"/>
      <c r="G61" s="94"/>
      <c r="H61" s="94"/>
      <c r="I61" s="94"/>
      <c r="J61" s="94"/>
      <c r="K61" s="94"/>
      <c r="L61" s="94"/>
      <c r="M61" s="94"/>
      <c r="N61" s="94"/>
      <c r="O61" s="94"/>
      <c r="P61" s="94"/>
      <c r="Q61" s="94"/>
      <c r="R61" s="94"/>
      <c r="S61" s="94"/>
      <c r="T61" s="94"/>
      <c r="U61" s="94"/>
    </row>
    <row r="62" spans="1:21">
      <c r="A62" s="94"/>
      <c r="B62" s="94"/>
      <c r="C62" s="94"/>
      <c r="D62" s="18">
        <v>-550000</v>
      </c>
      <c r="E62" s="235" t="s">
        <v>4907</v>
      </c>
      <c r="F62" s="94"/>
      <c r="G62" s="94"/>
      <c r="H62" s="94"/>
      <c r="I62" s="94"/>
      <c r="J62" s="94"/>
      <c r="K62" s="94"/>
      <c r="L62" s="94"/>
      <c r="M62" s="94"/>
      <c r="N62" s="94"/>
      <c r="O62" s="94"/>
      <c r="P62" s="94"/>
      <c r="Q62" s="94"/>
      <c r="R62" s="94"/>
      <c r="S62" s="94"/>
      <c r="T62" s="94"/>
      <c r="U62" s="94"/>
    </row>
    <row r="63" spans="1:21">
      <c r="A63" s="94"/>
      <c r="B63" s="94"/>
      <c r="C63" s="94"/>
      <c r="D63" s="18">
        <v>-850000</v>
      </c>
      <c r="E63" s="235" t="s">
        <v>4911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4914</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4919</v>
      </c>
      <c r="F65" s="94"/>
      <c r="G65" s="94"/>
      <c r="H65" s="94"/>
      <c r="I65" s="94"/>
      <c r="J65" s="94"/>
      <c r="K65" s="94"/>
      <c r="L65" s="94"/>
      <c r="M65" s="94"/>
      <c r="N65" s="94"/>
      <c r="O65" s="94"/>
      <c r="P65" s="94"/>
      <c r="Q65" s="94"/>
      <c r="R65" s="94"/>
      <c r="S65" s="94"/>
      <c r="T65" s="94"/>
      <c r="U65" s="94"/>
    </row>
    <row r="66" spans="1:21">
      <c r="A66" s="94"/>
      <c r="B66" s="94"/>
      <c r="C66" s="94"/>
      <c r="D66" s="18">
        <v>-2290500</v>
      </c>
      <c r="E66" s="235" t="s">
        <v>4920</v>
      </c>
      <c r="F66" s="94"/>
      <c r="G66" s="94"/>
      <c r="H66" s="94"/>
      <c r="I66" s="94"/>
      <c r="J66" s="94"/>
      <c r="K66" s="94"/>
      <c r="L66" s="94"/>
      <c r="M66" s="94"/>
      <c r="N66" s="94"/>
      <c r="O66" s="94"/>
      <c r="P66" s="94"/>
      <c r="Q66" s="94"/>
      <c r="R66" s="94"/>
      <c r="S66" s="94"/>
      <c r="T66" s="94"/>
      <c r="U66" s="94"/>
    </row>
    <row r="67" spans="1:21">
      <c r="A67" s="94"/>
      <c r="B67" s="94"/>
      <c r="C67" s="94"/>
      <c r="D67" s="18">
        <v>1700000</v>
      </c>
      <c r="E67" s="235" t="s">
        <v>4927</v>
      </c>
      <c r="F67" s="94"/>
      <c r="G67" s="94"/>
      <c r="H67" s="94"/>
      <c r="I67" s="94"/>
      <c r="J67" s="94"/>
      <c r="K67" s="94"/>
      <c r="L67" s="94"/>
      <c r="M67" s="94"/>
      <c r="N67" s="94"/>
      <c r="O67" s="94"/>
      <c r="P67" s="94"/>
      <c r="Q67" s="94"/>
      <c r="R67" s="94"/>
      <c r="S67" s="94"/>
      <c r="T67" s="94"/>
      <c r="U67" s="94"/>
    </row>
    <row r="68" spans="1:21">
      <c r="A68" s="94"/>
      <c r="B68" s="94"/>
      <c r="C68" s="94"/>
      <c r="D68" s="18">
        <v>-150000</v>
      </c>
      <c r="E68" s="235" t="s">
        <v>4932</v>
      </c>
      <c r="F68" s="94"/>
      <c r="G68" s="94"/>
      <c r="H68" s="94"/>
      <c r="I68" s="94"/>
      <c r="J68" s="94"/>
      <c r="K68" s="94"/>
      <c r="L68" s="94"/>
      <c r="M68" s="94"/>
      <c r="N68" s="94"/>
      <c r="O68" s="94"/>
      <c r="P68" s="94"/>
      <c r="Q68" s="94"/>
      <c r="R68" s="94"/>
      <c r="S68" s="94"/>
      <c r="T68" s="94"/>
      <c r="U68" s="94"/>
    </row>
    <row r="69" spans="1:21">
      <c r="A69" s="94"/>
      <c r="B69" s="94"/>
      <c r="C69" s="94"/>
      <c r="D69" s="18">
        <v>-550000</v>
      </c>
      <c r="E69" s="235" t="s">
        <v>4935</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4953</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4967</v>
      </c>
      <c r="F71" s="94"/>
      <c r="G71" s="94"/>
      <c r="H71" s="94"/>
      <c r="I71" s="94"/>
      <c r="J71" s="94"/>
      <c r="K71" s="94"/>
      <c r="L71" s="94"/>
      <c r="M71" s="94"/>
      <c r="N71" s="94"/>
      <c r="O71" s="94"/>
      <c r="P71" s="94"/>
      <c r="Q71" s="94"/>
      <c r="R71" s="94"/>
      <c r="S71" s="94"/>
      <c r="T71" s="94"/>
      <c r="U71" s="94"/>
    </row>
    <row r="72" spans="1:21">
      <c r="A72" s="94"/>
      <c r="B72" s="94"/>
      <c r="C72" s="94"/>
      <c r="D72" s="18">
        <v>1500000</v>
      </c>
      <c r="E72" s="235" t="s">
        <v>4968</v>
      </c>
      <c r="F72" s="94"/>
      <c r="G72" s="94"/>
      <c r="H72" s="94"/>
      <c r="I72" s="94"/>
      <c r="J72" s="94"/>
      <c r="K72" s="94"/>
      <c r="L72" s="94"/>
      <c r="M72" s="94"/>
      <c r="N72" s="94"/>
      <c r="O72" s="94"/>
      <c r="P72" s="94"/>
      <c r="Q72" s="94"/>
      <c r="R72" s="94"/>
      <c r="S72" s="94"/>
      <c r="T72" s="94"/>
      <c r="U72" s="94"/>
    </row>
    <row r="73" spans="1:21">
      <c r="A73" s="94"/>
      <c r="B73" s="94"/>
      <c r="C73" s="94"/>
      <c r="D73" s="18">
        <v>-550000</v>
      </c>
      <c r="E73" s="235" t="s">
        <v>4972</v>
      </c>
      <c r="F73" s="94"/>
      <c r="G73" s="94"/>
      <c r="H73" s="94"/>
      <c r="I73" s="94"/>
      <c r="J73" s="94"/>
      <c r="K73" s="94"/>
      <c r="L73" s="94"/>
      <c r="M73" s="94"/>
      <c r="N73" s="94"/>
      <c r="O73" s="94"/>
      <c r="P73" s="94"/>
      <c r="Q73" s="94"/>
      <c r="R73" s="94"/>
      <c r="S73" s="94"/>
      <c r="T73" s="94"/>
      <c r="U73" s="94"/>
    </row>
    <row r="74" spans="1:21">
      <c r="A74" s="94"/>
      <c r="B74" s="94"/>
      <c r="C74" s="94"/>
      <c r="D74" s="18">
        <v>-50000</v>
      </c>
      <c r="E74" s="235" t="s">
        <v>4973</v>
      </c>
      <c r="F74" s="94"/>
      <c r="G74" s="94"/>
      <c r="H74" s="94"/>
      <c r="I74" s="94"/>
      <c r="J74" s="94"/>
      <c r="K74" s="94"/>
      <c r="L74" s="94"/>
      <c r="M74" s="94"/>
      <c r="N74" s="94"/>
      <c r="O74" s="94"/>
      <c r="P74" s="94"/>
      <c r="Q74" s="94"/>
      <c r="R74" s="94"/>
      <c r="S74" s="94"/>
      <c r="T74" s="94"/>
      <c r="U74" s="94"/>
    </row>
    <row r="75" spans="1:21">
      <c r="A75" s="94"/>
      <c r="B75" s="94"/>
      <c r="C75" s="94"/>
      <c r="D75" s="18">
        <v>-60000</v>
      </c>
      <c r="E75" s="235" t="s">
        <v>4974</v>
      </c>
      <c r="F75" s="94"/>
      <c r="G75" s="94"/>
      <c r="H75" s="94"/>
      <c r="I75" s="94"/>
      <c r="J75" s="94"/>
      <c r="K75" s="94"/>
      <c r="L75" s="94"/>
      <c r="M75" s="94"/>
      <c r="N75" s="94"/>
      <c r="O75" s="94"/>
      <c r="P75" s="94"/>
      <c r="Q75" s="94"/>
      <c r="R75" s="94"/>
      <c r="S75" s="94"/>
      <c r="T75" s="94"/>
      <c r="U75" s="94"/>
    </row>
    <row r="76" spans="1:21">
      <c r="A76" s="94"/>
      <c r="B76" s="94"/>
      <c r="C76" s="94"/>
      <c r="D76" s="18">
        <v>-43000</v>
      </c>
      <c r="E76" s="235" t="s">
        <v>4982</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4988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4989</v>
      </c>
      <c r="F78" s="94"/>
      <c r="G78" s="94"/>
      <c r="H78" s="94"/>
      <c r="I78" s="94"/>
      <c r="J78" s="94"/>
      <c r="K78" s="94"/>
      <c r="L78" s="94"/>
      <c r="M78" s="94"/>
      <c r="N78" s="94"/>
      <c r="O78" s="94"/>
      <c r="P78" s="94"/>
      <c r="Q78" s="94"/>
      <c r="R78" s="94"/>
      <c r="S78" s="94"/>
      <c r="T78" s="94"/>
      <c r="U78" s="94"/>
    </row>
    <row r="79" spans="1:21">
      <c r="A79" s="94"/>
      <c r="B79" s="94"/>
      <c r="C79" s="94"/>
      <c r="D79" s="18">
        <v>-750000</v>
      </c>
      <c r="E79" s="235" t="s">
        <v>4995</v>
      </c>
      <c r="F79" s="94"/>
      <c r="G79" s="94"/>
      <c r="H79" s="94"/>
      <c r="I79" s="94"/>
      <c r="J79" s="94"/>
      <c r="K79" s="94"/>
      <c r="L79" s="94"/>
      <c r="M79" s="94"/>
      <c r="N79" s="94"/>
      <c r="O79" s="94"/>
      <c r="P79" s="94"/>
      <c r="Q79" s="94"/>
      <c r="R79" s="94"/>
      <c r="S79" s="94"/>
      <c r="T79" s="94"/>
      <c r="U79" s="94"/>
    </row>
    <row r="80" spans="1:21">
      <c r="A80" s="94"/>
      <c r="B80" s="94"/>
      <c r="C80" s="94"/>
      <c r="D80" s="18">
        <v>50000</v>
      </c>
      <c r="E80" s="235" t="s">
        <v>5007</v>
      </c>
      <c r="F80" s="94"/>
      <c r="G80" s="94"/>
      <c r="H80" s="94"/>
      <c r="I80" s="94"/>
      <c r="J80" s="94"/>
      <c r="K80" s="94"/>
      <c r="L80" s="94"/>
      <c r="M80" s="94"/>
      <c r="N80" s="94"/>
      <c r="O80" s="94"/>
      <c r="P80" s="94"/>
      <c r="Q80" s="94"/>
      <c r="R80" s="94"/>
      <c r="S80" s="94"/>
      <c r="T80" s="94"/>
      <c r="U80" s="94"/>
    </row>
    <row r="81" spans="1:21">
      <c r="A81" s="94"/>
      <c r="B81" s="94"/>
      <c r="C81" s="94"/>
      <c r="D81" s="18">
        <v>500000</v>
      </c>
      <c r="E81" s="235" t="s">
        <v>5020</v>
      </c>
      <c r="F81" s="94"/>
      <c r="G81" s="94"/>
      <c r="H81" s="94"/>
      <c r="I81" s="94"/>
      <c r="J81" s="94"/>
      <c r="K81" s="94"/>
      <c r="L81" s="94"/>
      <c r="M81" s="94"/>
      <c r="N81" s="94"/>
      <c r="O81" s="94"/>
      <c r="P81" s="94"/>
      <c r="Q81" s="94"/>
      <c r="R81" s="94"/>
      <c r="S81" s="94"/>
      <c r="T81" s="94"/>
      <c r="U81" s="94"/>
    </row>
    <row r="82" spans="1:21">
      <c r="A82" s="94"/>
      <c r="B82" s="94"/>
      <c r="C82" s="94"/>
      <c r="D82" s="18">
        <v>1500000</v>
      </c>
      <c r="E82" s="235" t="s">
        <v>5019</v>
      </c>
      <c r="F82" s="94"/>
      <c r="G82" s="94"/>
      <c r="H82" s="94"/>
      <c r="I82" s="94"/>
      <c r="J82" s="94"/>
      <c r="K82" s="94"/>
      <c r="L82" s="94"/>
      <c r="M82" s="94"/>
      <c r="N82" s="94"/>
      <c r="O82" s="94"/>
      <c r="P82" s="94"/>
      <c r="Q82" s="94"/>
      <c r="R82" s="94"/>
      <c r="S82" s="94"/>
      <c r="T82" s="94"/>
      <c r="U82" s="94"/>
    </row>
    <row r="83" spans="1:21">
      <c r="D83" s="18">
        <v>-510000</v>
      </c>
      <c r="E83" s="235" t="s">
        <v>5021</v>
      </c>
      <c r="H83" t="s">
        <v>25</v>
      </c>
    </row>
    <row r="84" spans="1:21">
      <c r="D84" s="18">
        <v>-400000</v>
      </c>
      <c r="E84" s="235" t="s">
        <v>5035</v>
      </c>
    </row>
    <row r="85" spans="1:21">
      <c r="D85" s="18">
        <v>250000</v>
      </c>
      <c r="E85" s="235" t="s">
        <v>5041</v>
      </c>
    </row>
    <row r="86" spans="1:21">
      <c r="D86" s="18">
        <v>-50000</v>
      </c>
      <c r="E86" s="235" t="s">
        <v>5042</v>
      </c>
    </row>
    <row r="87" spans="1:21">
      <c r="D87" s="18">
        <v>-300000</v>
      </c>
      <c r="E87" s="235" t="s">
        <v>5046</v>
      </c>
    </row>
    <row r="88" spans="1:21">
      <c r="D88" s="18">
        <v>-100000</v>
      </c>
      <c r="E88" s="235" t="s">
        <v>5057</v>
      </c>
      <c r="I88" t="s">
        <v>25</v>
      </c>
    </row>
    <row r="89" spans="1:21">
      <c r="D89" s="18">
        <v>-250000</v>
      </c>
      <c r="E89" s="235" t="s">
        <v>5067</v>
      </c>
    </row>
    <row r="90" spans="1:21">
      <c r="D90" s="18">
        <v>-45000</v>
      </c>
      <c r="E90" s="235" t="s">
        <v>5090</v>
      </c>
    </row>
    <row r="91" spans="1:21">
      <c r="D91" s="18">
        <v>3000000</v>
      </c>
      <c r="E91" s="235" t="s">
        <v>5091</v>
      </c>
      <c r="I91" t="s">
        <v>25</v>
      </c>
    </row>
    <row r="92" spans="1:21">
      <c r="D92" s="18">
        <v>-550000</v>
      </c>
      <c r="E92" s="235" t="s">
        <v>5092</v>
      </c>
    </row>
    <row r="93" spans="1:21">
      <c r="D93" s="18">
        <v>-200000</v>
      </c>
      <c r="E93" s="235" t="s">
        <v>5104</v>
      </c>
      <c r="G93" t="s">
        <v>25</v>
      </c>
    </row>
    <row r="94" spans="1:21">
      <c r="D94" s="18">
        <v>-30500</v>
      </c>
      <c r="E94" s="235" t="s">
        <v>5105</v>
      </c>
    </row>
    <row r="95" spans="1:21">
      <c r="D95" s="18">
        <v>2500000</v>
      </c>
      <c r="E95" s="235" t="s">
        <v>5137</v>
      </c>
      <c r="I95" t="s">
        <v>25</v>
      </c>
    </row>
    <row r="96" spans="1:21">
      <c r="D96" s="18">
        <v>-230000</v>
      </c>
      <c r="E96" s="235" t="s">
        <v>5143</v>
      </c>
    </row>
    <row r="97" spans="4:10">
      <c r="D97" s="18">
        <v>-168950</v>
      </c>
      <c r="E97" s="235" t="s">
        <v>4375</v>
      </c>
      <c r="J97" t="s">
        <v>25</v>
      </c>
    </row>
    <row r="98" spans="4:10">
      <c r="D98" s="18">
        <v>-250000</v>
      </c>
      <c r="E98" s="235" t="s">
        <v>5154</v>
      </c>
    </row>
    <row r="99" spans="4:10">
      <c r="D99" s="18">
        <v>500000</v>
      </c>
      <c r="E99" s="235" t="s">
        <v>5165</v>
      </c>
    </row>
    <row r="100" spans="4:10">
      <c r="D100" s="18">
        <v>-520000</v>
      </c>
      <c r="E100" s="235" t="s">
        <v>5164</v>
      </c>
      <c r="J100" t="s">
        <v>25</v>
      </c>
    </row>
    <row r="101" spans="4:10">
      <c r="D101" s="18">
        <v>500000</v>
      </c>
      <c r="E101" s="235" t="s">
        <v>5175</v>
      </c>
    </row>
    <row r="102" spans="4:10">
      <c r="D102" s="18">
        <v>-200000</v>
      </c>
      <c r="E102" s="235" t="s">
        <v>5179</v>
      </c>
    </row>
    <row r="103" spans="4:10">
      <c r="D103" s="18">
        <v>-300000</v>
      </c>
      <c r="E103" s="235" t="s">
        <v>5180</v>
      </c>
    </row>
    <row r="104" spans="4:10">
      <c r="D104" s="18">
        <v>-530000</v>
      </c>
      <c r="E104" s="235" t="s">
        <v>5198</v>
      </c>
    </row>
    <row r="105" spans="4:10">
      <c r="D105" s="18">
        <v>-550000</v>
      </c>
      <c r="E105" s="235" t="s">
        <v>5200</v>
      </c>
    </row>
    <row r="106" spans="4:10">
      <c r="D106" s="18">
        <v>-200000</v>
      </c>
      <c r="E106" s="235" t="s">
        <v>5222</v>
      </c>
    </row>
    <row r="107" spans="4:10">
      <c r="D107" s="18">
        <v>-1600000</v>
      </c>
      <c r="E107" s="235" t="s">
        <v>5224</v>
      </c>
      <c r="G107" t="s">
        <v>25</v>
      </c>
    </row>
    <row r="108" spans="4:10">
      <c r="D108" s="18">
        <v>1600000</v>
      </c>
      <c r="E108" s="235" t="s">
        <v>5228</v>
      </c>
    </row>
    <row r="109" spans="4:10">
      <c r="D109" s="18">
        <v>-550000</v>
      </c>
      <c r="E109" s="235" t="s">
        <v>5230</v>
      </c>
    </row>
    <row r="110" spans="4:10">
      <c r="D110" s="18">
        <v>-15000</v>
      </c>
      <c r="E110" s="235" t="s">
        <v>5235</v>
      </c>
    </row>
    <row r="111" spans="4:10">
      <c r="D111" s="18">
        <v>-325000</v>
      </c>
      <c r="E111" s="235" t="s">
        <v>5248</v>
      </c>
    </row>
    <row r="112" spans="4:10">
      <c r="D112" s="18">
        <v>-130000</v>
      </c>
      <c r="E112" s="235" t="s">
        <v>5249</v>
      </c>
    </row>
    <row r="113" spans="4:10">
      <c r="D113" s="18">
        <v>-250000</v>
      </c>
      <c r="E113" s="235" t="s">
        <v>5257</v>
      </c>
      <c r="J113" t="s">
        <v>25</v>
      </c>
    </row>
    <row r="114" spans="4:10">
      <c r="D114" s="18">
        <v>-750000</v>
      </c>
      <c r="E114" s="235" t="s">
        <v>5260</v>
      </c>
    </row>
    <row r="115" spans="4:10">
      <c r="D115" s="18">
        <v>250000</v>
      </c>
      <c r="E115" s="235" t="s">
        <v>5266</v>
      </c>
    </row>
    <row r="116" spans="4:10">
      <c r="D116" s="18">
        <v>-2100000</v>
      </c>
      <c r="E116" s="235" t="s">
        <v>5278</v>
      </c>
    </row>
    <row r="117" spans="4:10">
      <c r="D117" s="18">
        <v>-1000000</v>
      </c>
      <c r="E117" s="235" t="s">
        <v>5286</v>
      </c>
    </row>
    <row r="118" spans="4:10">
      <c r="D118" s="18">
        <v>-100000</v>
      </c>
      <c r="E118" s="235" t="s">
        <v>5287</v>
      </c>
    </row>
    <row r="119" spans="4:10">
      <c r="D119" s="18">
        <v>-550000</v>
      </c>
      <c r="E119" s="235" t="s">
        <v>5317</v>
      </c>
    </row>
    <row r="120" spans="4:10">
      <c r="D120" s="18">
        <v>-550000</v>
      </c>
      <c r="E120" s="235" t="s">
        <v>5318</v>
      </c>
    </row>
    <row r="121" spans="4:10">
      <c r="D121" s="18">
        <v>-390000</v>
      </c>
      <c r="E121" s="235" t="s">
        <v>5340</v>
      </c>
      <c r="H121" t="s">
        <v>25</v>
      </c>
      <c r="J121" t="s">
        <v>25</v>
      </c>
    </row>
    <row r="122" spans="4:10">
      <c r="D122" s="18">
        <v>2432520</v>
      </c>
      <c r="E122" s="235" t="s">
        <v>5341</v>
      </c>
    </row>
    <row r="123" spans="4:10">
      <c r="D123" s="18">
        <v>8000000</v>
      </c>
      <c r="E123" s="235" t="s">
        <v>5356</v>
      </c>
    </row>
    <row r="124" spans="4:10">
      <c r="D124" s="18">
        <v>-83930</v>
      </c>
      <c r="E124" s="235" t="s">
        <v>5365</v>
      </c>
    </row>
    <row r="125" spans="4:10">
      <c r="D125" s="18">
        <v>1000000</v>
      </c>
      <c r="E125" s="235" t="s">
        <v>5393</v>
      </c>
    </row>
    <row r="126" spans="4:10">
      <c r="D126" s="18">
        <v>-1333333</v>
      </c>
      <c r="E126" s="235" t="s">
        <v>5394</v>
      </c>
      <c r="J126" t="s">
        <v>25</v>
      </c>
    </row>
    <row r="127" spans="4:10">
      <c r="D127" s="18">
        <v>-1050000</v>
      </c>
      <c r="E127" s="235" t="s">
        <v>5410</v>
      </c>
    </row>
    <row r="128" spans="4:10">
      <c r="D128" s="18">
        <v>-2000000</v>
      </c>
      <c r="E128" s="235" t="s">
        <v>5417</v>
      </c>
      <c r="I128" t="s">
        <v>25</v>
      </c>
    </row>
    <row r="129" spans="4:5">
      <c r="D129" s="18">
        <v>-250000</v>
      </c>
      <c r="E129" s="235" t="s">
        <v>5425</v>
      </c>
    </row>
    <row r="130" spans="4:5">
      <c r="D130" s="18">
        <v>-550000</v>
      </c>
      <c r="E130" s="235" t="s">
        <v>5429</v>
      </c>
    </row>
    <row r="131" spans="4:5">
      <c r="D131" s="18">
        <v>210000</v>
      </c>
      <c r="E131" s="235" t="s">
        <v>5430</v>
      </c>
    </row>
    <row r="132" spans="4:5">
      <c r="D132" s="18">
        <v>-724200</v>
      </c>
      <c r="E132" s="235" t="s">
        <v>5461</v>
      </c>
    </row>
    <row r="133" spans="4:5">
      <c r="D133" s="18">
        <v>-400000</v>
      </c>
      <c r="E133" s="235" t="s">
        <v>5471</v>
      </c>
    </row>
    <row r="134" spans="4:5">
      <c r="D134" s="18">
        <v>-550000</v>
      </c>
      <c r="E134" s="235" t="s">
        <v>5479</v>
      </c>
    </row>
    <row r="135" spans="4:5">
      <c r="D135" s="18">
        <v>-2167000</v>
      </c>
      <c r="E135" s="235" t="s">
        <v>5482</v>
      </c>
    </row>
    <row r="136" spans="4:5">
      <c r="D136" s="18">
        <v>-125000</v>
      </c>
      <c r="E136" s="235" t="s">
        <v>5489</v>
      </c>
    </row>
    <row r="137" spans="4:5">
      <c r="D137" s="18">
        <v>-200000</v>
      </c>
      <c r="E137" s="235" t="s">
        <v>5496</v>
      </c>
    </row>
    <row r="138" spans="4:5">
      <c r="D138" s="18">
        <v>-2000000</v>
      </c>
      <c r="E138" s="235" t="s">
        <v>5510</v>
      </c>
    </row>
    <row r="139" spans="4:5">
      <c r="D139" s="18">
        <v>-1287000</v>
      </c>
      <c r="E139" s="235" t="s">
        <v>5516</v>
      </c>
    </row>
    <row r="140" spans="4:5">
      <c r="D140" s="18">
        <v>-2000000</v>
      </c>
      <c r="E140" s="235" t="s">
        <v>5520</v>
      </c>
    </row>
    <row r="141" spans="4:5">
      <c r="D141" s="18">
        <v>-2500000</v>
      </c>
      <c r="E141" s="235" t="s">
        <v>5521</v>
      </c>
    </row>
    <row r="142" spans="4:5">
      <c r="D142" s="18">
        <v>-500000</v>
      </c>
      <c r="E142" s="235" t="s">
        <v>5537</v>
      </c>
    </row>
    <row r="143" spans="4:5">
      <c r="D143" s="18">
        <v>-83930</v>
      </c>
      <c r="E143" s="235" t="s">
        <v>5545</v>
      </c>
    </row>
    <row r="144" spans="4:5">
      <c r="D144" s="18">
        <v>-550000</v>
      </c>
      <c r="E144" s="235" t="s">
        <v>5544</v>
      </c>
    </row>
    <row r="145" spans="4:9">
      <c r="D145" s="18">
        <v>-25000</v>
      </c>
      <c r="E145" s="235" t="s">
        <v>5553</v>
      </c>
      <c r="I145" t="s">
        <v>25</v>
      </c>
    </row>
    <row r="146" spans="4:9">
      <c r="D146" s="18">
        <v>-180000</v>
      </c>
      <c r="E146" s="235" t="s">
        <v>5605</v>
      </c>
      <c r="G146" t="s">
        <v>25</v>
      </c>
    </row>
    <row r="147" spans="4:9">
      <c r="D147" s="18">
        <v>-30000</v>
      </c>
      <c r="E147" s="235" t="s">
        <v>5604</v>
      </c>
    </row>
    <row r="148" spans="4:9">
      <c r="D148" s="18">
        <v>-47000</v>
      </c>
      <c r="E148" s="235" t="s">
        <v>5603</v>
      </c>
    </row>
    <row r="149" spans="4:9">
      <c r="D149" s="18">
        <v>-1000000</v>
      </c>
      <c r="E149" s="235" t="s">
        <v>5606</v>
      </c>
    </row>
    <row r="150" spans="4:9">
      <c r="D150" s="18">
        <v>-500000</v>
      </c>
      <c r="E150" s="235" t="s">
        <v>5619</v>
      </c>
    </row>
    <row r="151" spans="4:9">
      <c r="D151" s="18">
        <v>-5000000</v>
      </c>
      <c r="E151" s="235" t="s">
        <v>5624</v>
      </c>
    </row>
    <row r="152" spans="4:9">
      <c r="D152" s="18">
        <v>-200000</v>
      </c>
      <c r="E152" s="235" t="s">
        <v>5634</v>
      </c>
    </row>
    <row r="153" spans="4:9">
      <c r="D153" s="18">
        <v>-268000</v>
      </c>
      <c r="E153" s="235" t="s">
        <v>5667</v>
      </c>
      <c r="I153" t="s">
        <v>25</v>
      </c>
    </row>
    <row r="154" spans="4:9">
      <c r="D154" s="18">
        <v>-1800000</v>
      </c>
      <c r="E154" s="235" t="s">
        <v>5683</v>
      </c>
    </row>
    <row r="155" spans="4:9" ht="30">
      <c r="D155" s="18">
        <v>-3200000</v>
      </c>
      <c r="E155" s="235" t="s">
        <v>5684</v>
      </c>
      <c r="I155" t="s">
        <v>25</v>
      </c>
    </row>
    <row r="156" spans="4:9">
      <c r="D156" s="18">
        <v>-300000</v>
      </c>
      <c r="E156" s="235" t="s">
        <v>5693</v>
      </c>
    </row>
    <row r="157" spans="4:9">
      <c r="D157" s="18">
        <v>-1300000</v>
      </c>
      <c r="E157" s="235" t="s">
        <v>5694</v>
      </c>
    </row>
    <row r="158" spans="4:9">
      <c r="D158" s="18">
        <v>860000</v>
      </c>
      <c r="E158" s="235" t="s">
        <v>5709</v>
      </c>
    </row>
    <row r="159" spans="4:9">
      <c r="D159" s="18">
        <v>-83900</v>
      </c>
      <c r="E159" s="235" t="s">
        <v>5717</v>
      </c>
      <c r="I159" t="s">
        <v>25</v>
      </c>
    </row>
    <row r="160" spans="4:9">
      <c r="D160" s="18">
        <v>-3810000</v>
      </c>
      <c r="E160" s="235" t="s">
        <v>5732</v>
      </c>
      <c r="H160" t="s">
        <v>25</v>
      </c>
    </row>
    <row r="161" spans="4:11">
      <c r="D161" s="18">
        <v>30000000</v>
      </c>
      <c r="E161" s="235" t="s">
        <v>5833</v>
      </c>
      <c r="I161" t="s">
        <v>25</v>
      </c>
    </row>
    <row r="162" spans="4:11">
      <c r="D162" s="18">
        <v>50000000</v>
      </c>
      <c r="E162" s="235" t="s">
        <v>5851</v>
      </c>
    </row>
    <row r="163" spans="4:11">
      <c r="D163" s="18">
        <v>-19100000</v>
      </c>
      <c r="E163" s="235" t="s">
        <v>5850</v>
      </c>
    </row>
    <row r="164" spans="4:11">
      <c r="D164" s="18">
        <v>1470000</v>
      </c>
      <c r="E164" s="235" t="s">
        <v>6606</v>
      </c>
      <c r="I164" t="s">
        <v>25</v>
      </c>
    </row>
    <row r="165" spans="4:11">
      <c r="D165" s="18">
        <v>-2540000</v>
      </c>
      <c r="E165" s="235" t="s">
        <v>6607</v>
      </c>
      <c r="K165" t="s">
        <v>25</v>
      </c>
    </row>
    <row r="166" spans="4:11">
      <c r="D166" s="18">
        <v>-1040000</v>
      </c>
      <c r="E166" s="235" t="s">
        <v>6608</v>
      </c>
    </row>
    <row r="167" spans="4:11">
      <c r="D167" s="18">
        <v>-50252149</v>
      </c>
      <c r="E167" s="235" t="s">
        <v>6621</v>
      </c>
    </row>
    <row r="168" spans="4:11">
      <c r="D168" s="18">
        <v>-1500000</v>
      </c>
      <c r="E168" s="235" t="s">
        <v>6912</v>
      </c>
    </row>
    <row r="169" spans="4:11">
      <c r="D169" s="18">
        <v>-2500000</v>
      </c>
      <c r="E169" s="235" t="s">
        <v>6913</v>
      </c>
      <c r="H169" t="s">
        <v>25</v>
      </c>
    </row>
    <row r="170" spans="4:11">
      <c r="D170" s="18">
        <v>-2600000</v>
      </c>
      <c r="E170" s="235" t="s">
        <v>6918</v>
      </c>
    </row>
    <row r="171" spans="4:11">
      <c r="D171" s="18">
        <v>-2060000</v>
      </c>
      <c r="E171" s="235" t="s">
        <v>6976</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4643</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4669</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4675</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4675</v>
      </c>
      <c r="B6" s="18">
        <v>-1866154</v>
      </c>
      <c r="C6" s="18">
        <v>0</v>
      </c>
      <c r="D6" s="111">
        <f t="shared" si="0"/>
        <v>-1866154</v>
      </c>
      <c r="E6" s="19" t="s">
        <v>4681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4675</v>
      </c>
      <c r="B7" s="18">
        <v>-36600</v>
      </c>
      <c r="C7" s="18">
        <v>0</v>
      </c>
      <c r="D7" s="111">
        <f t="shared" si="0"/>
        <v>-36600</v>
      </c>
      <c r="E7" s="19" t="s">
        <v>4682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4683</v>
      </c>
      <c r="B8" s="18">
        <v>-492000</v>
      </c>
      <c r="C8" s="18">
        <v>0</v>
      </c>
      <c r="D8" s="111">
        <f t="shared" si="0"/>
        <v>-492000</v>
      </c>
      <c r="E8" s="19" t="s">
        <v>4684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4683</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4683</v>
      </c>
      <c r="B10" s="18">
        <v>-40000</v>
      </c>
      <c r="C10" s="18">
        <v>0</v>
      </c>
      <c r="D10" s="111">
        <f t="shared" si="0"/>
        <v>-40000</v>
      </c>
      <c r="E10" s="19" t="s">
        <v>4686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4687</v>
      </c>
      <c r="B11" s="18">
        <v>-66000</v>
      </c>
      <c r="C11" s="18">
        <v>0</v>
      </c>
      <c r="D11" s="111">
        <f t="shared" si="0"/>
        <v>-66000</v>
      </c>
      <c r="E11" s="19" t="s">
        <v>4686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4688</v>
      </c>
      <c r="B13" s="18">
        <v>-200500</v>
      </c>
      <c r="C13" s="18">
        <v>0</v>
      </c>
      <c r="D13" s="111">
        <f t="shared" si="0"/>
        <v>-200500</v>
      </c>
      <c r="E13" s="20" t="s">
        <v>4689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4693</v>
      </c>
      <c r="B14" s="18">
        <v>1563000</v>
      </c>
      <c r="C14" s="18">
        <v>0</v>
      </c>
      <c r="D14" s="111">
        <f t="shared" si="0"/>
        <v>1563000</v>
      </c>
      <c r="E14" s="20" t="s">
        <v>4695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4693</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4702</v>
      </c>
      <c r="B16" s="18">
        <v>-20000</v>
      </c>
      <c r="C16" s="18">
        <v>0</v>
      </c>
      <c r="D16" s="111">
        <f t="shared" si="0"/>
        <v>-20000</v>
      </c>
      <c r="E16" s="20" t="s">
        <v>4705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4723</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4728</v>
      </c>
      <c r="B20" s="18">
        <v>400000</v>
      </c>
      <c r="C20" s="18">
        <v>0</v>
      </c>
      <c r="D20" s="111">
        <f t="shared" si="0"/>
        <v>400000</v>
      </c>
      <c r="E20" s="19" t="s">
        <v>4729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4731</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4731</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4731</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4733</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4733</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4734</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4734</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4739</v>
      </c>
      <c r="B28" s="18">
        <v>433375</v>
      </c>
      <c r="C28" s="18">
        <v>0</v>
      </c>
      <c r="D28" s="111">
        <f t="shared" si="0"/>
        <v>433375</v>
      </c>
      <c r="E28" s="19" t="s">
        <v>4742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4748</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4748</v>
      </c>
      <c r="B30" s="18">
        <v>-300000</v>
      </c>
      <c r="C30" s="18">
        <v>0</v>
      </c>
      <c r="D30" s="111">
        <f t="shared" si="0"/>
        <v>-300000</v>
      </c>
      <c r="E30" s="19" t="s">
        <v>4750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4748</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4724</v>
      </c>
      <c r="F68" s="94"/>
      <c r="G68" s="94"/>
      <c r="H68" s="94"/>
      <c r="I68" s="94"/>
    </row>
    <row r="69" spans="1:22">
      <c r="A69" s="94"/>
      <c r="B69" s="94"/>
      <c r="C69" s="94"/>
      <c r="D69" s="18">
        <v>-67844</v>
      </c>
      <c r="E69" s="120" t="s">
        <v>4726</v>
      </c>
      <c r="F69" s="94"/>
      <c r="G69" s="94"/>
      <c r="H69" s="94"/>
      <c r="I69" s="94"/>
    </row>
    <row r="70" spans="1:22">
      <c r="D70" s="18">
        <v>-400000</v>
      </c>
      <c r="E70" s="120" t="s">
        <v>4730</v>
      </c>
      <c r="G70" t="s">
        <v>25</v>
      </c>
    </row>
    <row r="71" spans="1:22">
      <c r="D71" s="18">
        <v>463200</v>
      </c>
      <c r="E71" s="120" t="s">
        <v>4732</v>
      </c>
    </row>
    <row r="72" spans="1:22">
      <c r="D72" s="18">
        <v>2000000</v>
      </c>
      <c r="E72" s="94" t="s">
        <v>4735</v>
      </c>
    </row>
    <row r="73" spans="1:22">
      <c r="D73" s="18">
        <v>-280000</v>
      </c>
      <c r="E73" t="s">
        <v>4736</v>
      </c>
    </row>
    <row r="74" spans="1:22">
      <c r="D74" s="18">
        <v>-200000</v>
      </c>
      <c r="E74" s="94" t="s">
        <v>4743</v>
      </c>
    </row>
    <row r="75" spans="1:22">
      <c r="D75" s="18">
        <v>-2000000</v>
      </c>
      <c r="E75" s="94" t="s">
        <v>4749</v>
      </c>
    </row>
    <row r="76" spans="1:22">
      <c r="D76" s="18">
        <v>92800</v>
      </c>
      <c r="E76" s="94" t="s">
        <v>4751</v>
      </c>
    </row>
    <row r="77" spans="1:22">
      <c r="D77" s="18">
        <v>1417727</v>
      </c>
      <c r="E77" s="94" t="s">
        <v>4752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4944</v>
      </c>
      <c r="X20" s="41">
        <v>9194342556</v>
      </c>
      <c r="Y20" s="41">
        <v>200</v>
      </c>
      <c r="Z20" s="41" t="s">
        <v>4483</v>
      </c>
      <c r="AA20" t="s">
        <v>4926</v>
      </c>
      <c r="AB20" s="94"/>
      <c r="AC20" s="94"/>
      <c r="AD20" s="94"/>
      <c r="AE20" s="94"/>
      <c r="AF20" s="94"/>
      <c r="AG20" s="94"/>
      <c r="AH20" s="94"/>
      <c r="AI20" s="94"/>
    </row>
    <row r="21" spans="5:35">
      <c r="O21" s="97"/>
      <c r="P21" s="97"/>
      <c r="Q21" s="488" t="s">
        <v>1071</v>
      </c>
      <c r="R21" s="488"/>
      <c r="S21" s="488"/>
      <c r="T21" s="488"/>
      <c r="U21" s="94"/>
      <c r="V21" s="94"/>
      <c r="W21" s="41" t="s">
        <v>4943</v>
      </c>
      <c r="X21" s="41">
        <v>9035210431</v>
      </c>
      <c r="Y21" s="41">
        <v>50</v>
      </c>
      <c r="Z21" s="41" t="s">
        <v>5205</v>
      </c>
      <c r="AA21" t="s">
        <v>4961</v>
      </c>
    </row>
    <row r="22" spans="5:35">
      <c r="O22" s="97"/>
      <c r="P22" s="97"/>
      <c r="Q22" s="488"/>
      <c r="R22" s="488"/>
      <c r="S22" s="488"/>
      <c r="T22" s="488"/>
      <c r="U22" s="94"/>
      <c r="V22" s="94"/>
      <c r="W22" s="41" t="s">
        <v>5030</v>
      </c>
      <c r="X22" s="41">
        <v>9909620343</v>
      </c>
      <c r="Y22" s="41">
        <v>200</v>
      </c>
      <c r="Z22" s="41" t="s">
        <v>5206</v>
      </c>
      <c r="AA22" t="s">
        <v>5209</v>
      </c>
      <c r="AB22" s="41" t="s">
        <v>5217</v>
      </c>
    </row>
    <row r="23" spans="5:35" ht="15.75">
      <c r="O23" s="176"/>
      <c r="P23" s="97" t="s">
        <v>4067</v>
      </c>
      <c r="Q23" s="489" t="s">
        <v>1072</v>
      </c>
      <c r="R23" s="490" t="s">
        <v>1073</v>
      </c>
      <c r="S23" s="489" t="s">
        <v>1074</v>
      </c>
      <c r="T23" s="491" t="s">
        <v>1075</v>
      </c>
      <c r="W23" s="41" t="s">
        <v>5031</v>
      </c>
      <c r="X23" s="41">
        <v>9378807702</v>
      </c>
      <c r="Y23" s="41">
        <v>0</v>
      </c>
      <c r="Z23" s="41">
        <v>0</v>
      </c>
      <c r="AD23" t="s">
        <v>25</v>
      </c>
    </row>
    <row r="24" spans="5:35">
      <c r="O24" s="97"/>
      <c r="P24" s="97"/>
      <c r="Q24" s="489"/>
      <c r="R24" s="490"/>
      <c r="S24" s="489"/>
      <c r="T24" s="491"/>
      <c r="W24" s="41" t="s">
        <v>5052</v>
      </c>
      <c r="X24" s="41"/>
      <c r="Y24" s="41">
        <v>200</v>
      </c>
      <c r="Z24" s="41" t="s">
        <v>4483</v>
      </c>
      <c r="AA24" t="s">
        <v>5064</v>
      </c>
      <c r="AB24" t="s">
        <v>5112</v>
      </c>
    </row>
    <row r="25" spans="5:35">
      <c r="O25" s="171" t="s">
        <v>4122</v>
      </c>
      <c r="P25" s="171">
        <v>2182188507</v>
      </c>
      <c r="Q25" s="172" t="s">
        <v>1076</v>
      </c>
      <c r="R25" s="172" t="s">
        <v>4068</v>
      </c>
      <c r="S25" s="172" t="s">
        <v>4073</v>
      </c>
      <c r="T25" s="172" t="s">
        <v>1077</v>
      </c>
      <c r="W25" s="41" t="s">
        <v>5069</v>
      </c>
      <c r="X25" s="41">
        <v>9013075723</v>
      </c>
      <c r="Y25" s="41">
        <v>100</v>
      </c>
      <c r="Z25" s="41" t="s">
        <v>5205</v>
      </c>
      <c r="AA25" t="s">
        <v>5133</v>
      </c>
    </row>
    <row r="26" spans="5:35">
      <c r="O26" s="171"/>
      <c r="P26" s="171">
        <v>2123095122</v>
      </c>
      <c r="Q26" s="173" t="s">
        <v>1078</v>
      </c>
      <c r="R26" s="173" t="s">
        <v>1079</v>
      </c>
      <c r="S26" s="173" t="s">
        <v>1080</v>
      </c>
      <c r="T26" s="173" t="s">
        <v>1081</v>
      </c>
      <c r="U26" s="94"/>
      <c r="V26" s="94"/>
      <c r="W26" s="41" t="s">
        <v>5207</v>
      </c>
      <c r="X26" s="41">
        <v>9214923916</v>
      </c>
      <c r="Y26" s="41">
        <v>100</v>
      </c>
      <c r="Z26" s="41" t="s">
        <v>4483</v>
      </c>
      <c r="AA26" s="203" t="s">
        <v>5201</v>
      </c>
      <c r="AB26" s="94"/>
    </row>
    <row r="27" spans="5:35" ht="30">
      <c r="O27" s="171" t="s">
        <v>4176</v>
      </c>
      <c r="P27" s="171">
        <v>2188831909</v>
      </c>
      <c r="Q27" s="97" t="s">
        <v>4070</v>
      </c>
      <c r="R27" s="97" t="s">
        <v>4071</v>
      </c>
      <c r="S27" s="97" t="s">
        <v>4072</v>
      </c>
      <c r="T27" s="174" t="s">
        <v>4074</v>
      </c>
      <c r="U27" s="94"/>
      <c r="V27" s="94"/>
      <c r="W27" s="41" t="s">
        <v>5208</v>
      </c>
      <c r="X27" s="41" t="s">
        <v>5256</v>
      </c>
      <c r="Y27" s="41">
        <v>80</v>
      </c>
      <c r="Z27" s="41" t="s">
        <v>5205</v>
      </c>
      <c r="AA27" s="203" t="s">
        <v>5201</v>
      </c>
      <c r="AB27" s="94"/>
    </row>
    <row r="28" spans="5:35" ht="60">
      <c r="E28" t="s">
        <v>25</v>
      </c>
      <c r="T28" s="22" t="s">
        <v>4061</v>
      </c>
      <c r="U28" s="94"/>
      <c r="V28" s="94"/>
      <c r="W28" s="41" t="s">
        <v>5534</v>
      </c>
      <c r="X28" s="41">
        <v>9373349244</v>
      </c>
      <c r="Y28" s="41">
        <v>300</v>
      </c>
      <c r="Z28" s="41" t="s">
        <v>5535</v>
      </c>
      <c r="AA28" s="94" t="s">
        <v>5529</v>
      </c>
      <c r="AB28" s="41" t="s">
        <v>5600</v>
      </c>
    </row>
    <row r="29" spans="5:35">
      <c r="R29" s="94"/>
      <c r="S29" s="94"/>
      <c r="T29" s="94"/>
      <c r="U29" s="94"/>
      <c r="V29" s="94"/>
      <c r="W29" s="41" t="s">
        <v>5561</v>
      </c>
      <c r="X29" s="41">
        <v>9332154549</v>
      </c>
      <c r="Y29" s="41">
        <v>260</v>
      </c>
      <c r="Z29" s="41" t="s">
        <v>5535</v>
      </c>
      <c r="AA29" s="94" t="s">
        <v>5560</v>
      </c>
      <c r="AB29" s="41" t="s">
        <v>5774</v>
      </c>
    </row>
    <row r="30" spans="5:35">
      <c r="R30" s="94"/>
      <c r="S30" s="94"/>
      <c r="T30" s="94"/>
      <c r="U30" s="94"/>
      <c r="V30" s="94"/>
      <c r="W30" s="41" t="s">
        <v>5773</v>
      </c>
      <c r="X30" s="41">
        <v>9944625742</v>
      </c>
      <c r="Y30" s="41">
        <v>120</v>
      </c>
      <c r="Z30" s="41" t="s">
        <v>4483</v>
      </c>
      <c r="AA30" s="94" t="s">
        <v>5761</v>
      </c>
      <c r="AB30" s="94"/>
    </row>
    <row r="31" spans="5:35">
      <c r="R31" s="94"/>
      <c r="S31" s="94"/>
      <c r="T31" s="94"/>
      <c r="U31" s="94"/>
      <c r="V31" s="94"/>
      <c r="W31" s="342" t="s">
        <v>6569</v>
      </c>
      <c r="X31" s="342">
        <v>9199190185</v>
      </c>
      <c r="Y31" s="342">
        <v>195</v>
      </c>
      <c r="Z31" s="342" t="s">
        <v>5205</v>
      </c>
      <c r="AA31" s="94" t="s">
        <v>6406</v>
      </c>
      <c r="AB31" s="94"/>
    </row>
    <row r="32" spans="5:35">
      <c r="R32" s="94"/>
      <c r="S32" s="94"/>
      <c r="T32" s="94"/>
      <c r="U32" s="94"/>
      <c r="V32" s="94"/>
      <c r="W32" s="342" t="s">
        <v>6958</v>
      </c>
      <c r="X32" s="94"/>
      <c r="Y32" s="94"/>
      <c r="Z32" s="342" t="s">
        <v>5205</v>
      </c>
      <c r="AA32" s="94" t="s">
        <v>6959</v>
      </c>
      <c r="AB32" s="94"/>
    </row>
    <row r="33" spans="18:28">
      <c r="R33" s="94"/>
      <c r="S33" s="94"/>
      <c r="T33" s="94"/>
      <c r="U33" s="94"/>
      <c r="V33" s="94"/>
      <c r="W33" s="342" t="s">
        <v>6960</v>
      </c>
      <c r="X33" s="342">
        <v>9304634309</v>
      </c>
      <c r="Y33" s="342">
        <v>150</v>
      </c>
      <c r="Z33" s="342" t="s">
        <v>6961</v>
      </c>
      <c r="AA33" s="94" t="s">
        <v>6957</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4669</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4675</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4675</v>
      </c>
      <c r="B319" s="18">
        <v>-1866154</v>
      </c>
      <c r="C319" s="18">
        <v>0</v>
      </c>
      <c r="D319" s="18">
        <f t="shared" si="18"/>
        <v>-1866154</v>
      </c>
      <c r="E319" s="19" t="s">
        <v>4681</v>
      </c>
      <c r="F319" s="97">
        <v>0</v>
      </c>
      <c r="G319" s="36">
        <f t="shared" si="28"/>
        <v>29</v>
      </c>
      <c r="H319" s="97">
        <f t="shared" si="29"/>
        <v>0</v>
      </c>
      <c r="I319" s="97">
        <f t="shared" si="30"/>
        <v>-54118466</v>
      </c>
      <c r="J319" s="97">
        <f t="shared" si="31"/>
        <v>0</v>
      </c>
      <c r="K319" s="97">
        <f t="shared" si="32"/>
        <v>-54118466</v>
      </c>
    </row>
    <row r="320" spans="1:13">
      <c r="A320" s="11" t="s">
        <v>4675</v>
      </c>
      <c r="B320" s="18">
        <v>-36600</v>
      </c>
      <c r="C320" s="18">
        <v>0</v>
      </c>
      <c r="D320" s="18">
        <f t="shared" si="18"/>
        <v>-36600</v>
      </c>
      <c r="E320" s="97" t="s">
        <v>4682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4683</v>
      </c>
      <c r="B321" s="18">
        <v>-492000</v>
      </c>
      <c r="C321" s="18">
        <v>0</v>
      </c>
      <c r="D321" s="18">
        <f t="shared" si="18"/>
        <v>-492000</v>
      </c>
      <c r="E321" s="97" t="s">
        <v>4684</v>
      </c>
      <c r="F321" s="97">
        <v>0</v>
      </c>
      <c r="G321" s="36">
        <f t="shared" si="33"/>
        <v>28</v>
      </c>
      <c r="H321" s="97">
        <f t="shared" si="34"/>
        <v>0</v>
      </c>
      <c r="I321" s="97">
        <f t="shared" si="35"/>
        <v>-13776000</v>
      </c>
      <c r="J321" s="97">
        <f t="shared" si="36"/>
        <v>0</v>
      </c>
      <c r="K321" s="97">
        <f t="shared" si="37"/>
        <v>-13776000</v>
      </c>
      <c r="M321" t="s">
        <v>25</v>
      </c>
    </row>
    <row r="322" spans="1:14">
      <c r="A322" s="97" t="s">
        <v>4683</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4683</v>
      </c>
      <c r="B323" s="18">
        <v>-40000</v>
      </c>
      <c r="C323" s="18">
        <v>0</v>
      </c>
      <c r="D323" s="18">
        <f t="shared" si="18"/>
        <v>-40000</v>
      </c>
      <c r="E323" s="97" t="s">
        <v>4686</v>
      </c>
      <c r="F323" s="97">
        <v>1</v>
      </c>
      <c r="G323" s="36">
        <f t="shared" si="33"/>
        <v>28</v>
      </c>
      <c r="H323" s="97">
        <f t="shared" si="34"/>
        <v>0</v>
      </c>
      <c r="I323" s="97">
        <f t="shared" si="35"/>
        <v>-1120000</v>
      </c>
      <c r="J323" s="97">
        <f t="shared" si="36"/>
        <v>0</v>
      </c>
      <c r="K323" s="97">
        <f t="shared" si="37"/>
        <v>-1120000</v>
      </c>
    </row>
    <row r="324" spans="1:14">
      <c r="A324" s="97" t="s">
        <v>4687</v>
      </c>
      <c r="B324" s="18">
        <v>-66000</v>
      </c>
      <c r="C324" s="18">
        <v>0</v>
      </c>
      <c r="D324" s="18">
        <f t="shared" si="18"/>
        <v>-66000</v>
      </c>
      <c r="E324" s="97" t="s">
        <v>4686</v>
      </c>
      <c r="F324" s="97">
        <v>1</v>
      </c>
      <c r="G324" s="36">
        <f t="shared" si="33"/>
        <v>27</v>
      </c>
      <c r="H324" s="97">
        <f t="shared" si="34"/>
        <v>0</v>
      </c>
      <c r="I324" s="97">
        <f t="shared" si="35"/>
        <v>-1782000</v>
      </c>
      <c r="J324" s="97">
        <f t="shared" si="36"/>
        <v>0</v>
      </c>
      <c r="K324" s="97">
        <f t="shared" si="37"/>
        <v>-1782000</v>
      </c>
    </row>
    <row r="325" spans="1:14">
      <c r="A325" s="97" t="s">
        <v>4688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4688</v>
      </c>
      <c r="B326" s="18">
        <v>-200500</v>
      </c>
      <c r="C326" s="18">
        <v>0</v>
      </c>
      <c r="D326" s="18">
        <f t="shared" si="18"/>
        <v>-200500</v>
      </c>
      <c r="E326" s="97" t="s">
        <v>4689</v>
      </c>
      <c r="F326" s="97">
        <v>2</v>
      </c>
      <c r="G326" s="36">
        <f t="shared" si="33"/>
        <v>26</v>
      </c>
      <c r="H326" s="97">
        <f t="shared" si="34"/>
        <v>0</v>
      </c>
      <c r="I326" s="97">
        <f t="shared" si="35"/>
        <v>-5213000</v>
      </c>
      <c r="J326" s="97">
        <f t="shared" si="36"/>
        <v>0</v>
      </c>
      <c r="K326" s="97">
        <f t="shared" si="37"/>
        <v>-5213000</v>
      </c>
      <c r="M326" t="s">
        <v>25</v>
      </c>
    </row>
    <row r="327" spans="1:14">
      <c r="A327" s="97" t="s">
        <v>4693</v>
      </c>
      <c r="B327" s="18">
        <v>1563000</v>
      </c>
      <c r="C327" s="18">
        <v>0</v>
      </c>
      <c r="D327" s="18">
        <f t="shared" si="18"/>
        <v>1563000</v>
      </c>
      <c r="E327" s="97" t="s">
        <v>4695</v>
      </c>
      <c r="F327" s="97">
        <v>0</v>
      </c>
      <c r="G327" s="36">
        <f t="shared" si="33"/>
        <v>24</v>
      </c>
      <c r="H327" s="97">
        <f t="shared" si="34"/>
        <v>1</v>
      </c>
      <c r="I327" s="97">
        <f t="shared" si="35"/>
        <v>35949000</v>
      </c>
      <c r="J327" s="97">
        <f t="shared" si="36"/>
        <v>0</v>
      </c>
      <c r="K327" s="97">
        <f t="shared" si="37"/>
        <v>35949000</v>
      </c>
    </row>
    <row r="328" spans="1:14">
      <c r="A328" s="97" t="s">
        <v>4693</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4702</v>
      </c>
      <c r="B329" s="18">
        <v>-20000</v>
      </c>
      <c r="C329" s="18">
        <v>0</v>
      </c>
      <c r="D329" s="18">
        <f t="shared" si="18"/>
        <v>-20000</v>
      </c>
      <c r="E329" s="97" t="s">
        <v>4705</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4714</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4719</v>
      </c>
      <c r="F331" s="97">
        <v>2</v>
      </c>
      <c r="G331" s="36">
        <f t="shared" si="33"/>
        <v>19</v>
      </c>
      <c r="H331" s="97">
        <f t="shared" si="34"/>
        <v>0</v>
      </c>
      <c r="I331" s="97">
        <f t="shared" si="35"/>
        <v>-15019500</v>
      </c>
      <c r="J331" s="97">
        <f t="shared" si="36"/>
        <v>0</v>
      </c>
      <c r="K331" s="97">
        <f t="shared" si="37"/>
        <v>-15019500</v>
      </c>
    </row>
    <row r="332" spans="1:14">
      <c r="A332" s="97" t="s">
        <v>4723</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4731</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4731</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4731</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4733</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4733</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4734</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4734</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4739</v>
      </c>
      <c r="B341" s="18">
        <v>433375</v>
      </c>
      <c r="C341" s="18">
        <v>0</v>
      </c>
      <c r="D341" s="18">
        <f t="shared" si="18"/>
        <v>433375</v>
      </c>
      <c r="E341" s="97" t="s">
        <v>4742</v>
      </c>
      <c r="F341" s="97">
        <v>1</v>
      </c>
      <c r="G341" s="36">
        <f>G342+F341</f>
        <v>11</v>
      </c>
      <c r="H341" s="97">
        <f>IF(B341&gt;0,1,0)</f>
        <v>1</v>
      </c>
      <c r="I341" s="97">
        <f>B341*(G341-H341)</f>
        <v>4333750</v>
      </c>
      <c r="J341" s="97">
        <f>C341*(G341-H341)</f>
        <v>0</v>
      </c>
      <c r="K341" s="97">
        <f>D341*(G341-H341)</f>
        <v>4333750</v>
      </c>
      <c r="M341" t="s">
        <v>25</v>
      </c>
    </row>
    <row r="342" spans="1:13">
      <c r="A342" s="97" t="s">
        <v>4748</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4748</v>
      </c>
      <c r="B343" s="18">
        <v>-300000</v>
      </c>
      <c r="C343" s="18">
        <v>0</v>
      </c>
      <c r="D343" s="18">
        <f t="shared" si="18"/>
        <v>-300000</v>
      </c>
      <c r="E343" s="97" t="s">
        <v>4750</v>
      </c>
      <c r="F343" s="97">
        <v>0</v>
      </c>
      <c r="G343" s="36">
        <f t="shared" si="38"/>
        <v>10</v>
      </c>
      <c r="H343" s="97">
        <f t="shared" si="39"/>
        <v>0</v>
      </c>
      <c r="I343" s="97">
        <f t="shared" si="40"/>
        <v>-3000000</v>
      </c>
      <c r="J343" s="97">
        <f t="shared" si="41"/>
        <v>0</v>
      </c>
      <c r="K343" s="97">
        <f t="shared" si="42"/>
        <v>-3000000</v>
      </c>
    </row>
    <row r="344" spans="1:13">
      <c r="A344" s="97" t="s">
        <v>4748</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4752</v>
      </c>
      <c r="F345" s="97">
        <v>3</v>
      </c>
      <c r="G345" s="36">
        <f t="shared" si="38"/>
        <v>9</v>
      </c>
      <c r="H345" s="97">
        <f t="shared" si="39"/>
        <v>0</v>
      </c>
      <c r="I345" s="97">
        <f t="shared" si="40"/>
        <v>-12759543</v>
      </c>
      <c r="J345" s="97">
        <f t="shared" si="41"/>
        <v>0</v>
      </c>
      <c r="K345" s="97">
        <f t="shared" si="42"/>
        <v>-12759543</v>
      </c>
      <c r="L345" t="s">
        <v>25</v>
      </c>
    </row>
    <row r="346" spans="1:13">
      <c r="A346" s="97" t="s">
        <v>4757</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4754</v>
      </c>
      <c r="B347" s="18">
        <v>-960200</v>
      </c>
      <c r="C347" s="18">
        <v>0</v>
      </c>
      <c r="D347" s="18">
        <f t="shared" si="18"/>
        <v>-960200</v>
      </c>
      <c r="E347" s="97" t="s">
        <v>4758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4683</v>
      </c>
      <c r="B5" t="s">
        <v>4697</v>
      </c>
    </row>
    <row r="6" spans="1:3">
      <c r="A6" t="s">
        <v>4693</v>
      </c>
      <c r="B6" t="s">
        <v>4698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5855</v>
      </c>
      <c r="B1" s="206" t="s">
        <v>4419</v>
      </c>
      <c r="C1" s="206" t="s">
        <v>6375</v>
      </c>
      <c r="D1" s="206" t="s">
        <v>5854</v>
      </c>
      <c r="E1" s="206" t="s">
        <v>4824</v>
      </c>
      <c r="F1" s="206" t="s">
        <v>5857</v>
      </c>
      <c r="G1" s="206" t="s">
        <v>5859</v>
      </c>
      <c r="H1" s="206"/>
      <c r="I1" s="206"/>
      <c r="J1" s="206"/>
      <c r="K1" s="206"/>
      <c r="L1" s="206" t="s">
        <v>6376</v>
      </c>
      <c r="M1" s="206">
        <v>10000000000</v>
      </c>
      <c r="N1" s="206"/>
      <c r="O1" s="206"/>
      <c r="P1" s="206"/>
      <c r="Q1" s="206"/>
      <c r="R1" s="206"/>
      <c r="S1" s="206"/>
      <c r="T1" s="206"/>
      <c r="U1" s="206"/>
      <c r="V1" s="206"/>
      <c r="W1" s="206"/>
      <c r="X1" s="206"/>
      <c r="Y1" s="206"/>
      <c r="Z1" s="206"/>
      <c r="AA1" s="206"/>
      <c r="AB1" s="206"/>
      <c r="AC1" s="206"/>
    </row>
    <row r="2" spans="1:29">
      <c r="A2" s="206" t="s">
        <v>5874</v>
      </c>
      <c r="B2" s="206">
        <v>52293239</v>
      </c>
      <c r="C2" s="206">
        <f t="shared" ref="C2:C33" si="0">D2+E2</f>
        <v>2605542578</v>
      </c>
      <c r="D2" s="206" t="s">
        <v>5875</v>
      </c>
      <c r="E2" s="206" t="s">
        <v>5876</v>
      </c>
      <c r="F2" s="206" t="s">
        <v>5877</v>
      </c>
      <c r="G2" s="206" t="s">
        <v>5878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5861</v>
      </c>
      <c r="B3" s="298">
        <v>39356047</v>
      </c>
      <c r="C3" s="206">
        <f t="shared" si="0"/>
        <v>3355161798</v>
      </c>
      <c r="D3" s="206" t="s">
        <v>5863</v>
      </c>
      <c r="E3" s="206" t="s">
        <v>5864</v>
      </c>
      <c r="F3" s="206" t="s">
        <v>5866</v>
      </c>
      <c r="G3" s="206" t="s">
        <v>5867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5901</v>
      </c>
      <c r="B4" s="298">
        <v>27272507</v>
      </c>
      <c r="C4" s="206">
        <f t="shared" si="0"/>
        <v>2003857980</v>
      </c>
      <c r="D4" s="206" t="s">
        <v>5875</v>
      </c>
      <c r="E4" s="179" t="s">
        <v>5902</v>
      </c>
      <c r="F4" s="206" t="s">
        <v>5903</v>
      </c>
      <c r="G4" s="206" t="s">
        <v>5904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5905</v>
      </c>
      <c r="B5" s="298">
        <v>17936330</v>
      </c>
      <c r="C5" s="206">
        <f t="shared" si="0"/>
        <v>4161561525</v>
      </c>
      <c r="D5" s="206" t="s">
        <v>5875</v>
      </c>
      <c r="E5" s="206" t="s">
        <v>5906</v>
      </c>
      <c r="F5" s="206" t="s">
        <v>5907</v>
      </c>
      <c r="G5" s="206" t="s">
        <v>5908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5885</v>
      </c>
      <c r="B6" s="298">
        <v>15219631</v>
      </c>
      <c r="C6" s="206">
        <f t="shared" si="0"/>
        <v>1037466348</v>
      </c>
      <c r="D6" s="206" t="s">
        <v>5887</v>
      </c>
      <c r="E6" s="206" t="s">
        <v>5888</v>
      </c>
      <c r="F6" s="179" t="s">
        <v>5889</v>
      </c>
      <c r="G6" s="206" t="s">
        <v>5890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5935</v>
      </c>
      <c r="B7" s="298">
        <v>12077909</v>
      </c>
      <c r="C7" s="206">
        <f t="shared" si="0"/>
        <v>499499998</v>
      </c>
      <c r="D7" s="206" t="s">
        <v>5875</v>
      </c>
      <c r="E7" s="206" t="s">
        <v>5936</v>
      </c>
      <c r="F7" s="206" t="s">
        <v>5937</v>
      </c>
      <c r="G7" s="206" t="s">
        <v>5938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5968</v>
      </c>
      <c r="B8" s="298">
        <v>11039958</v>
      </c>
      <c r="C8" s="206">
        <f t="shared" si="0"/>
        <v>2802020000</v>
      </c>
      <c r="D8" s="206" t="s">
        <v>5875</v>
      </c>
      <c r="E8" s="206" t="s">
        <v>5969</v>
      </c>
      <c r="F8" s="206" t="s">
        <v>5970</v>
      </c>
      <c r="G8" s="206" t="s">
        <v>5971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5925</v>
      </c>
      <c r="B9" s="298">
        <v>6743250</v>
      </c>
      <c r="C9" s="206">
        <f t="shared" si="0"/>
        <v>337500000</v>
      </c>
      <c r="D9" s="206" t="s">
        <v>5875</v>
      </c>
      <c r="E9" s="206" t="s">
        <v>5927</v>
      </c>
      <c r="F9" s="206" t="s">
        <v>5928</v>
      </c>
      <c r="G9" s="206" t="s">
        <v>5929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5959</v>
      </c>
      <c r="B10" s="298">
        <v>6591899</v>
      </c>
      <c r="C10" s="206">
        <f t="shared" si="0"/>
        <v>978026662</v>
      </c>
      <c r="D10" s="206" t="s">
        <v>5875</v>
      </c>
      <c r="E10" s="206" t="s">
        <v>5960</v>
      </c>
      <c r="F10" s="206" t="s">
        <v>5961</v>
      </c>
      <c r="G10" s="206" t="s">
        <v>5962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5868</v>
      </c>
      <c r="B11" s="298">
        <v>6515494</v>
      </c>
      <c r="C11" s="206">
        <f t="shared" si="0"/>
        <v>137024073</v>
      </c>
      <c r="D11" s="206" t="s">
        <v>5870</v>
      </c>
      <c r="E11" s="206" t="s">
        <v>5871</v>
      </c>
      <c r="F11" s="206" t="s">
        <v>5872</v>
      </c>
      <c r="G11" s="206" t="s">
        <v>5873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5879</v>
      </c>
      <c r="B12" s="298">
        <v>5962560</v>
      </c>
      <c r="C12" s="206">
        <f t="shared" si="0"/>
        <v>1242200000</v>
      </c>
      <c r="D12" s="206" t="s">
        <v>5881</v>
      </c>
      <c r="E12" s="206" t="s">
        <v>5882</v>
      </c>
      <c r="F12" s="206" t="s">
        <v>5883</v>
      </c>
      <c r="G12" s="206" t="s">
        <v>5884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6004</v>
      </c>
      <c r="B13" s="298">
        <v>4690527</v>
      </c>
      <c r="C13" s="206">
        <f t="shared" si="0"/>
        <v>623740333</v>
      </c>
      <c r="D13" s="206" t="s">
        <v>5875</v>
      </c>
      <c r="E13" s="206" t="s">
        <v>6005</v>
      </c>
      <c r="F13" s="206" t="s">
        <v>6006</v>
      </c>
      <c r="G13" s="206" t="s">
        <v>6007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6000</v>
      </c>
      <c r="B14" s="298">
        <v>4423541</v>
      </c>
      <c r="C14" s="206">
        <f t="shared" si="0"/>
        <v>118276522</v>
      </c>
      <c r="D14" s="206" t="s">
        <v>5875</v>
      </c>
      <c r="E14" s="206" t="s">
        <v>6001</v>
      </c>
      <c r="F14" s="206" t="s">
        <v>6002</v>
      </c>
      <c r="G14" s="206" t="s">
        <v>6003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6197</v>
      </c>
      <c r="B15" s="298">
        <v>4228226</v>
      </c>
      <c r="C15" s="206">
        <f t="shared" si="0"/>
        <v>106322321</v>
      </c>
      <c r="D15" s="206" t="s">
        <v>5875</v>
      </c>
      <c r="E15" s="206" t="s">
        <v>6198</v>
      </c>
      <c r="F15" s="206" t="s">
        <v>5875</v>
      </c>
      <c r="G15" s="206" t="s">
        <v>6199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6013</v>
      </c>
      <c r="B16" s="298">
        <v>3555770</v>
      </c>
      <c r="C16" s="206">
        <f t="shared" si="0"/>
        <v>183381668</v>
      </c>
      <c r="D16" s="206" t="s">
        <v>5875</v>
      </c>
      <c r="E16" s="206" t="s">
        <v>6014</v>
      </c>
      <c r="F16" s="206" t="s">
        <v>6015</v>
      </c>
      <c r="G16" s="206" t="s">
        <v>6016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5986</v>
      </c>
      <c r="B17" s="298">
        <v>3392316</v>
      </c>
      <c r="C17" s="206">
        <f t="shared" si="0"/>
        <v>1015663732</v>
      </c>
      <c r="D17" s="206" t="s">
        <v>5875</v>
      </c>
      <c r="E17" s="206" t="s">
        <v>5987</v>
      </c>
      <c r="F17" s="206" t="s">
        <v>5988</v>
      </c>
      <c r="G17" s="206" t="s">
        <v>5989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5909</v>
      </c>
      <c r="B18" s="298">
        <v>3321096</v>
      </c>
      <c r="C18" s="206">
        <f t="shared" si="0"/>
        <v>254880755</v>
      </c>
      <c r="D18" s="206" t="s">
        <v>5875</v>
      </c>
      <c r="E18" s="206" t="s">
        <v>5910</v>
      </c>
      <c r="F18" s="206" t="s">
        <v>5911</v>
      </c>
      <c r="G18" s="206" t="s">
        <v>5912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5955</v>
      </c>
      <c r="B19" s="298">
        <v>2708729</v>
      </c>
      <c r="C19" s="206">
        <f t="shared" si="0"/>
        <v>158220192</v>
      </c>
      <c r="D19" s="206" t="s">
        <v>5875</v>
      </c>
      <c r="E19" s="206" t="s">
        <v>5956</v>
      </c>
      <c r="F19" s="206" t="s">
        <v>5957</v>
      </c>
      <c r="G19" s="206" t="s">
        <v>5958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5897</v>
      </c>
      <c r="B20" s="298">
        <v>2623529</v>
      </c>
      <c r="C20" s="206">
        <f t="shared" si="0"/>
        <v>101805550</v>
      </c>
      <c r="D20" s="206" t="s">
        <v>5875</v>
      </c>
      <c r="E20" s="206" t="s">
        <v>5898</v>
      </c>
      <c r="F20" s="206" t="s">
        <v>5899</v>
      </c>
      <c r="G20" s="206" t="s">
        <v>5900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5891</v>
      </c>
      <c r="B21" s="298">
        <v>2224069</v>
      </c>
      <c r="C21" s="206">
        <f t="shared" si="0"/>
        <v>30270982</v>
      </c>
      <c r="D21" s="206" t="s">
        <v>5893</v>
      </c>
      <c r="E21" s="206" t="s">
        <v>5894</v>
      </c>
      <c r="F21" s="206" t="s">
        <v>5895</v>
      </c>
      <c r="G21" s="206" t="s">
        <v>5896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6017</v>
      </c>
      <c r="B22" s="299" t="s">
        <v>6018</v>
      </c>
      <c r="C22" s="206">
        <f t="shared" si="0"/>
        <v>114588426</v>
      </c>
      <c r="D22" s="206" t="s">
        <v>5875</v>
      </c>
      <c r="E22" s="206" t="s">
        <v>6019</v>
      </c>
      <c r="F22" s="206" t="s">
        <v>6020</v>
      </c>
      <c r="G22" s="206" t="s">
        <v>6021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5972</v>
      </c>
      <c r="B23" s="299" t="s">
        <v>5973</v>
      </c>
      <c r="C23" s="206">
        <f t="shared" si="0"/>
        <v>735760160</v>
      </c>
      <c r="D23" s="206" t="s">
        <v>5975</v>
      </c>
      <c r="E23" s="206" t="s">
        <v>5976</v>
      </c>
      <c r="F23" s="206" t="s">
        <v>5977</v>
      </c>
      <c r="G23" s="206" t="s">
        <v>5978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6134</v>
      </c>
      <c r="B24" s="299" t="s">
        <v>6135</v>
      </c>
      <c r="C24" s="206">
        <f t="shared" si="0"/>
        <v>4044500</v>
      </c>
      <c r="D24" s="206" t="s">
        <v>5875</v>
      </c>
      <c r="E24" s="206" t="s">
        <v>6136</v>
      </c>
      <c r="F24" s="206" t="s">
        <v>6120</v>
      </c>
      <c r="G24" s="206" t="s">
        <v>6137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6046</v>
      </c>
      <c r="B25" s="299" t="s">
        <v>6047</v>
      </c>
      <c r="C25" s="206">
        <f t="shared" si="0"/>
        <v>53400000</v>
      </c>
      <c r="D25" s="206" t="s">
        <v>5875</v>
      </c>
      <c r="E25" s="206" t="s">
        <v>6048</v>
      </c>
      <c r="F25" s="206" t="s">
        <v>6049</v>
      </c>
      <c r="G25" s="206" t="s">
        <v>6050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5920</v>
      </c>
      <c r="B26" s="299" t="s">
        <v>5921</v>
      </c>
      <c r="C26" s="206">
        <f t="shared" si="0"/>
        <v>36391574</v>
      </c>
      <c r="D26" s="206" t="s">
        <v>5875</v>
      </c>
      <c r="E26" s="206" t="s">
        <v>5922</v>
      </c>
      <c r="F26" s="206" t="s">
        <v>5923</v>
      </c>
      <c r="G26" s="206" t="s">
        <v>5924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5963</v>
      </c>
      <c r="B27" s="299" t="s">
        <v>5964</v>
      </c>
      <c r="C27" s="206">
        <f t="shared" si="0"/>
        <v>29296590</v>
      </c>
      <c r="D27" s="206" t="s">
        <v>5875</v>
      </c>
      <c r="E27" s="206" t="s">
        <v>5965</v>
      </c>
      <c r="F27" s="206" t="s">
        <v>5966</v>
      </c>
      <c r="G27" s="206" t="s">
        <v>5967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6062</v>
      </c>
      <c r="B28" s="299" t="s">
        <v>6063</v>
      </c>
      <c r="C28" s="206">
        <f t="shared" si="0"/>
        <v>32151333</v>
      </c>
      <c r="D28" s="206" t="s">
        <v>5875</v>
      </c>
      <c r="E28" s="206" t="s">
        <v>6064</v>
      </c>
      <c r="F28" s="206" t="s">
        <v>6065</v>
      </c>
      <c r="G28" s="206" t="s">
        <v>6066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5913</v>
      </c>
      <c r="B29" s="299" t="s">
        <v>5914</v>
      </c>
      <c r="C29" s="206">
        <f t="shared" si="0"/>
        <v>23043086</v>
      </c>
      <c r="D29" s="206" t="s">
        <v>5916</v>
      </c>
      <c r="E29" s="206" t="s">
        <v>5917</v>
      </c>
      <c r="F29" s="206" t="s">
        <v>5918</v>
      </c>
      <c r="G29" s="206" t="s">
        <v>5919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6026</v>
      </c>
      <c r="B30" s="299" t="s">
        <v>6027</v>
      </c>
      <c r="C30" s="206">
        <f t="shared" si="0"/>
        <v>126674402</v>
      </c>
      <c r="D30" s="206" t="s">
        <v>5875</v>
      </c>
      <c r="E30" s="206" t="s">
        <v>6028</v>
      </c>
      <c r="F30" s="206" t="s">
        <v>6029</v>
      </c>
      <c r="G30" s="206" t="s">
        <v>6030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5995</v>
      </c>
      <c r="B31" s="299" t="s">
        <v>5996</v>
      </c>
      <c r="C31" s="206">
        <f t="shared" si="0"/>
        <v>182160000</v>
      </c>
      <c r="D31" s="206" t="s">
        <v>5875</v>
      </c>
      <c r="E31" s="206" t="s">
        <v>5997</v>
      </c>
      <c r="F31" s="206" t="s">
        <v>5998</v>
      </c>
      <c r="G31" s="206" t="s">
        <v>5999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6041</v>
      </c>
      <c r="B32" s="299" t="s">
        <v>6042</v>
      </c>
      <c r="C32" s="206">
        <f t="shared" si="0"/>
        <v>67919940</v>
      </c>
      <c r="D32" s="206" t="s">
        <v>5875</v>
      </c>
      <c r="E32" s="206" t="s">
        <v>6043</v>
      </c>
      <c r="F32" s="206" t="s">
        <v>6044</v>
      </c>
      <c r="G32" s="206" t="s">
        <v>6045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6067</v>
      </c>
      <c r="B33" s="299" t="s">
        <v>6068</v>
      </c>
      <c r="C33" s="206">
        <f t="shared" si="0"/>
        <v>29288000</v>
      </c>
      <c r="D33" s="206" t="s">
        <v>5875</v>
      </c>
      <c r="E33" s="206" t="s">
        <v>6069</v>
      </c>
      <c r="F33" s="206" t="s">
        <v>6070</v>
      </c>
      <c r="G33" s="206" t="s">
        <v>6071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6077</v>
      </c>
      <c r="B34" s="299" t="s">
        <v>6078</v>
      </c>
      <c r="C34" s="206">
        <f t="shared" ref="C34:C65" si="4">D34+E34</f>
        <v>259990000</v>
      </c>
      <c r="D34" s="206" t="s">
        <v>5875</v>
      </c>
      <c r="E34" s="206" t="s">
        <v>6079</v>
      </c>
      <c r="F34" s="206" t="s">
        <v>6080</v>
      </c>
      <c r="G34" s="206" t="s">
        <v>6081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6031</v>
      </c>
      <c r="B35" s="299" t="s">
        <v>6032</v>
      </c>
      <c r="C35" s="206">
        <f t="shared" si="4"/>
        <v>6208016</v>
      </c>
      <c r="D35" s="206" t="s">
        <v>5875</v>
      </c>
      <c r="E35" s="206" t="s">
        <v>6033</v>
      </c>
      <c r="F35" s="206" t="s">
        <v>6034</v>
      </c>
      <c r="G35" s="206" t="s">
        <v>6035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5943</v>
      </c>
      <c r="B36" s="299" t="s">
        <v>5944</v>
      </c>
      <c r="C36" s="206">
        <f t="shared" si="4"/>
        <v>39242697</v>
      </c>
      <c r="D36" s="206" t="s">
        <v>5945</v>
      </c>
      <c r="E36" s="206" t="s">
        <v>5946</v>
      </c>
      <c r="F36" s="206" t="s">
        <v>5947</v>
      </c>
      <c r="G36" s="206" t="s">
        <v>5948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6072</v>
      </c>
      <c r="B37" s="299" t="s">
        <v>6073</v>
      </c>
      <c r="C37" s="206">
        <f t="shared" si="4"/>
        <v>24338461</v>
      </c>
      <c r="D37" s="206" t="s">
        <v>5875</v>
      </c>
      <c r="E37" s="206" t="s">
        <v>6074</v>
      </c>
      <c r="F37" s="206" t="s">
        <v>6075</v>
      </c>
      <c r="G37" s="206" t="s">
        <v>6076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5949</v>
      </c>
      <c r="B38" s="299" t="s">
        <v>5950</v>
      </c>
      <c r="C38" s="206">
        <f t="shared" si="4"/>
        <v>35697979</v>
      </c>
      <c r="D38" s="206" t="s">
        <v>5875</v>
      </c>
      <c r="E38" s="206" t="s">
        <v>5952</v>
      </c>
      <c r="F38" s="206" t="s">
        <v>5953</v>
      </c>
      <c r="G38" s="206" t="s">
        <v>5954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5979</v>
      </c>
      <c r="B39" s="299" t="s">
        <v>5980</v>
      </c>
      <c r="C39" s="206">
        <f t="shared" si="4"/>
        <v>30949707</v>
      </c>
      <c r="D39" s="206" t="s">
        <v>5982</v>
      </c>
      <c r="E39" s="206" t="s">
        <v>5983</v>
      </c>
      <c r="F39" s="206" t="s">
        <v>5984</v>
      </c>
      <c r="G39" s="206" t="s">
        <v>5985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5939</v>
      </c>
      <c r="B40" s="299" t="s">
        <v>5940</v>
      </c>
      <c r="C40" s="206">
        <f t="shared" si="4"/>
        <v>11270740</v>
      </c>
      <c r="D40" s="206" t="s">
        <v>5875</v>
      </c>
      <c r="E40" s="206" t="s">
        <v>5941</v>
      </c>
      <c r="F40" s="206" t="s">
        <v>5942</v>
      </c>
      <c r="G40" s="206" t="s">
        <v>4827</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6088</v>
      </c>
      <c r="B41" s="299" t="s">
        <v>6089</v>
      </c>
      <c r="C41" s="206">
        <f t="shared" si="4"/>
        <v>15600000</v>
      </c>
      <c r="D41" s="206" t="s">
        <v>5875</v>
      </c>
      <c r="E41" s="206" t="s">
        <v>6090</v>
      </c>
      <c r="F41" s="206" t="s">
        <v>6091</v>
      </c>
      <c r="G41" s="206" t="s">
        <v>6092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5930</v>
      </c>
      <c r="B42" s="299" t="s">
        <v>5931</v>
      </c>
      <c r="C42" s="206">
        <f t="shared" si="4"/>
        <v>14702520</v>
      </c>
      <c r="D42" s="206" t="s">
        <v>5875</v>
      </c>
      <c r="E42" s="206" t="s">
        <v>5932</v>
      </c>
      <c r="F42" s="206" t="s">
        <v>5933</v>
      </c>
      <c r="G42" s="206" t="s">
        <v>5934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6008</v>
      </c>
      <c r="B43" s="299" t="s">
        <v>6009</v>
      </c>
      <c r="C43" s="206">
        <f t="shared" si="4"/>
        <v>13930853</v>
      </c>
      <c r="D43" s="206" t="s">
        <v>5875</v>
      </c>
      <c r="E43" s="206" t="s">
        <v>6010</v>
      </c>
      <c r="F43" s="206" t="s">
        <v>6011</v>
      </c>
      <c r="G43" s="206" t="s">
        <v>6012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5990</v>
      </c>
      <c r="B44" s="299" t="s">
        <v>5991</v>
      </c>
      <c r="C44" s="206">
        <f t="shared" si="4"/>
        <v>68500000</v>
      </c>
      <c r="D44" s="206" t="s">
        <v>5875</v>
      </c>
      <c r="E44" s="206" t="s">
        <v>5992</v>
      </c>
      <c r="F44" s="206" t="s">
        <v>5993</v>
      </c>
      <c r="G44" s="206" t="s">
        <v>5994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6093</v>
      </c>
      <c r="B45" s="299" t="s">
        <v>6094</v>
      </c>
      <c r="C45" s="206">
        <f t="shared" si="4"/>
        <v>3000000</v>
      </c>
      <c r="D45" s="206" t="s">
        <v>5875</v>
      </c>
      <c r="E45" s="206" t="s">
        <v>5923</v>
      </c>
      <c r="F45" s="206" t="s">
        <v>6095</v>
      </c>
      <c r="G45" s="206" t="s">
        <v>6096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6112</v>
      </c>
      <c r="B46" s="299" t="s">
        <v>6113</v>
      </c>
      <c r="C46" s="206">
        <f t="shared" si="4"/>
        <v>12400000</v>
      </c>
      <c r="D46" s="206" t="s">
        <v>5875</v>
      </c>
      <c r="E46" s="206" t="s">
        <v>6114</v>
      </c>
      <c r="F46" s="206" t="s">
        <v>6115</v>
      </c>
      <c r="G46" s="206" t="s">
        <v>6116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6022</v>
      </c>
      <c r="B47" s="299" t="s">
        <v>6023</v>
      </c>
      <c r="C47" s="206">
        <f t="shared" si="4"/>
        <v>25000000</v>
      </c>
      <c r="D47" s="206" t="s">
        <v>5875</v>
      </c>
      <c r="E47" s="206" t="s">
        <v>5942</v>
      </c>
      <c r="F47" s="206" t="s">
        <v>6024</v>
      </c>
      <c r="G47" s="206" t="s">
        <v>6025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6097</v>
      </c>
      <c r="B48" s="299" t="s">
        <v>6098</v>
      </c>
      <c r="C48" s="206">
        <f t="shared" si="4"/>
        <v>29000000</v>
      </c>
      <c r="D48" s="206" t="s">
        <v>5875</v>
      </c>
      <c r="E48" s="206" t="s">
        <v>6099</v>
      </c>
      <c r="F48" s="206" t="s">
        <v>6100</v>
      </c>
      <c r="G48" s="206" t="s">
        <v>6101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6125</v>
      </c>
      <c r="B49" s="299" t="s">
        <v>6126</v>
      </c>
      <c r="C49" s="206">
        <f t="shared" si="4"/>
        <v>12691397</v>
      </c>
      <c r="D49" s="206" t="s">
        <v>5875</v>
      </c>
      <c r="E49" s="206" t="s">
        <v>6127</v>
      </c>
      <c r="F49" s="206" t="s">
        <v>6128</v>
      </c>
      <c r="G49" s="206" t="s">
        <v>6129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6117</v>
      </c>
      <c r="B50" s="299" t="s">
        <v>6118</v>
      </c>
      <c r="C50" s="206">
        <f t="shared" si="4"/>
        <v>4639508</v>
      </c>
      <c r="D50" s="206" t="s">
        <v>5875</v>
      </c>
      <c r="E50" s="206" t="s">
        <v>6119</v>
      </c>
      <c r="F50" s="206" t="s">
        <v>6120</v>
      </c>
      <c r="G50" s="206" t="s">
        <v>6121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6057</v>
      </c>
      <c r="B51" s="299" t="s">
        <v>6058</v>
      </c>
      <c r="C51" s="206">
        <f t="shared" si="4"/>
        <v>9242699</v>
      </c>
      <c r="D51" s="206" t="s">
        <v>5875</v>
      </c>
      <c r="E51" s="206" t="s">
        <v>6059</v>
      </c>
      <c r="F51" s="206" t="s">
        <v>6060</v>
      </c>
      <c r="G51" s="206" t="s">
        <v>6061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6051</v>
      </c>
      <c r="B52" s="299" t="s">
        <v>6052</v>
      </c>
      <c r="C52" s="206">
        <f t="shared" si="4"/>
        <v>12000000</v>
      </c>
      <c r="D52" s="206" t="s">
        <v>5875</v>
      </c>
      <c r="E52" s="206" t="s">
        <v>6054</v>
      </c>
      <c r="F52" s="206" t="s">
        <v>6055</v>
      </c>
      <c r="G52" s="206" t="s">
        <v>6056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6107</v>
      </c>
      <c r="B53" s="299" t="s">
        <v>6108</v>
      </c>
      <c r="C53" s="206">
        <f t="shared" si="4"/>
        <v>18333333</v>
      </c>
      <c r="D53" s="206" t="s">
        <v>5875</v>
      </c>
      <c r="E53" s="206" t="s">
        <v>6109</v>
      </c>
      <c r="F53" s="206" t="s">
        <v>6110</v>
      </c>
      <c r="G53" s="206" t="s">
        <v>6111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6082</v>
      </c>
      <c r="B54" s="299" t="s">
        <v>6083</v>
      </c>
      <c r="C54" s="206">
        <f t="shared" si="4"/>
        <v>10686057</v>
      </c>
      <c r="D54" s="206" t="s">
        <v>6084</v>
      </c>
      <c r="E54" s="206" t="s">
        <v>6085</v>
      </c>
      <c r="F54" s="206" t="s">
        <v>6086</v>
      </c>
      <c r="G54" s="206" t="s">
        <v>6087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6036</v>
      </c>
      <c r="B55" s="299" t="s">
        <v>6037</v>
      </c>
      <c r="C55" s="206">
        <f t="shared" si="4"/>
        <v>6210524</v>
      </c>
      <c r="D55" s="206" t="s">
        <v>5875</v>
      </c>
      <c r="E55" s="206" t="s">
        <v>6038</v>
      </c>
      <c r="F55" s="206" t="s">
        <v>6039</v>
      </c>
      <c r="G55" s="206" t="s">
        <v>6040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6161</v>
      </c>
      <c r="B56" s="299" t="s">
        <v>6162</v>
      </c>
      <c r="C56" s="206">
        <f t="shared" si="4"/>
        <v>2660000</v>
      </c>
      <c r="D56" s="206" t="s">
        <v>5875</v>
      </c>
      <c r="E56" s="206" t="s">
        <v>6163</v>
      </c>
      <c r="F56" s="206" t="s">
        <v>6164</v>
      </c>
      <c r="G56" s="206" t="s">
        <v>6165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6138</v>
      </c>
      <c r="B57" s="299" t="s">
        <v>6139</v>
      </c>
      <c r="C57" s="206">
        <f t="shared" si="4"/>
        <v>4333333</v>
      </c>
      <c r="D57" s="206" t="s">
        <v>5875</v>
      </c>
      <c r="E57" s="206" t="s">
        <v>6140</v>
      </c>
      <c r="F57" s="206" t="s">
        <v>6141</v>
      </c>
      <c r="G57" s="206" t="s">
        <v>6142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6143</v>
      </c>
      <c r="B58" s="299" t="s">
        <v>6144</v>
      </c>
      <c r="C58" s="206">
        <f t="shared" si="4"/>
        <v>469533</v>
      </c>
      <c r="D58" s="206" t="s">
        <v>5875</v>
      </c>
      <c r="E58" s="206" t="s">
        <v>6145</v>
      </c>
      <c r="F58" s="206" t="s">
        <v>6146</v>
      </c>
      <c r="G58" s="206" t="s">
        <v>6147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6190</v>
      </c>
      <c r="B59" s="299" t="s">
        <v>6189</v>
      </c>
      <c r="C59" s="206">
        <f t="shared" si="4"/>
        <v>5076558</v>
      </c>
      <c r="D59" s="206" t="s">
        <v>6191</v>
      </c>
      <c r="E59" s="206" t="s">
        <v>5875</v>
      </c>
      <c r="F59" s="206" t="s">
        <v>6128</v>
      </c>
      <c r="G59" s="206" t="s">
        <v>6192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5868</v>
      </c>
      <c r="B60" s="299" t="s">
        <v>6130</v>
      </c>
      <c r="C60" s="206">
        <f t="shared" si="4"/>
        <v>1144000</v>
      </c>
      <c r="D60" s="206" t="s">
        <v>5875</v>
      </c>
      <c r="E60" s="206" t="s">
        <v>6131</v>
      </c>
      <c r="F60" s="206" t="s">
        <v>6132</v>
      </c>
      <c r="G60" s="206" t="s">
        <v>6133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6102</v>
      </c>
      <c r="B61" s="299" t="s">
        <v>6103</v>
      </c>
      <c r="C61" s="206">
        <f t="shared" si="4"/>
        <v>2000000</v>
      </c>
      <c r="D61" s="206" t="s">
        <v>5875</v>
      </c>
      <c r="E61" s="206" t="s">
        <v>6104</v>
      </c>
      <c r="F61" s="206" t="s">
        <v>6105</v>
      </c>
      <c r="G61" s="206" t="s">
        <v>6106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6152</v>
      </c>
      <c r="B62" s="299" t="s">
        <v>6153</v>
      </c>
      <c r="C62" s="206">
        <f t="shared" si="4"/>
        <v>1469425</v>
      </c>
      <c r="D62" s="206" t="s">
        <v>5875</v>
      </c>
      <c r="E62" s="206" t="s">
        <v>6154</v>
      </c>
      <c r="F62" s="206" t="s">
        <v>6155</v>
      </c>
      <c r="G62" s="206" t="s">
        <v>6156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6148</v>
      </c>
      <c r="B63" s="299" t="s">
        <v>6149</v>
      </c>
      <c r="C63" s="206">
        <f t="shared" si="4"/>
        <v>1888175</v>
      </c>
      <c r="D63" s="206" t="s">
        <v>5875</v>
      </c>
      <c r="E63" s="206" t="s">
        <v>6150</v>
      </c>
      <c r="F63" s="206" t="s">
        <v>5942</v>
      </c>
      <c r="G63" s="206" t="s">
        <v>6151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5865</v>
      </c>
      <c r="B64" s="299" t="s">
        <v>6122</v>
      </c>
      <c r="C64" s="206">
        <f t="shared" si="4"/>
        <v>15200000</v>
      </c>
      <c r="D64" s="206" t="s">
        <v>5875</v>
      </c>
      <c r="E64" s="206" t="s">
        <v>6123</v>
      </c>
      <c r="F64" s="206" t="s">
        <v>5961</v>
      </c>
      <c r="G64" s="206" t="s">
        <v>6124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6166</v>
      </c>
      <c r="B65" s="299" t="s">
        <v>6167</v>
      </c>
      <c r="C65" s="206">
        <f t="shared" si="4"/>
        <v>364567</v>
      </c>
      <c r="D65" s="206" t="s">
        <v>5875</v>
      </c>
      <c r="E65" s="206" t="s">
        <v>6168</v>
      </c>
      <c r="F65" s="206" t="s">
        <v>6065</v>
      </c>
      <c r="G65" s="206" t="s">
        <v>6169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6157</v>
      </c>
      <c r="B66" s="299" t="s">
        <v>6158</v>
      </c>
      <c r="C66" s="206">
        <f t="shared" ref="C66:C70" si="5">D66+E66</f>
        <v>474991</v>
      </c>
      <c r="D66" s="206" t="s">
        <v>5875</v>
      </c>
      <c r="E66" s="206" t="s">
        <v>6159</v>
      </c>
      <c r="F66" s="206" t="s">
        <v>6006</v>
      </c>
      <c r="G66" s="206" t="s">
        <v>6160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6176</v>
      </c>
      <c r="B67" s="299" t="s">
        <v>6177</v>
      </c>
      <c r="C67" s="206">
        <f t="shared" si="5"/>
        <v>35981</v>
      </c>
      <c r="D67" s="206" t="s">
        <v>5875</v>
      </c>
      <c r="E67" s="206" t="s">
        <v>6178</v>
      </c>
      <c r="F67" s="206" t="s">
        <v>6179</v>
      </c>
      <c r="G67" s="206" t="s">
        <v>6180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6170</v>
      </c>
      <c r="B68" s="299" t="s">
        <v>6171</v>
      </c>
      <c r="C68" s="206">
        <f t="shared" si="5"/>
        <v>3000</v>
      </c>
      <c r="D68" s="206" t="s">
        <v>6173</v>
      </c>
      <c r="E68" s="206" t="s">
        <v>6174</v>
      </c>
      <c r="F68" s="206" t="s">
        <v>5961</v>
      </c>
      <c r="G68" s="206" t="s">
        <v>6175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6181</v>
      </c>
      <c r="B69" s="299" t="s">
        <v>6182</v>
      </c>
      <c r="C69" s="206">
        <f t="shared" si="5"/>
        <v>2666</v>
      </c>
      <c r="D69" s="206" t="s">
        <v>5875</v>
      </c>
      <c r="E69" s="206" t="s">
        <v>6184</v>
      </c>
      <c r="F69" s="206" t="s">
        <v>6006</v>
      </c>
      <c r="G69" s="206" t="s">
        <v>6185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6186</v>
      </c>
      <c r="B70" s="299" t="s">
        <v>5875</v>
      </c>
      <c r="C70" s="206">
        <f t="shared" si="5"/>
        <v>0</v>
      </c>
      <c r="D70" s="206" t="s">
        <v>6187</v>
      </c>
      <c r="E70" s="206" t="s">
        <v>5975</v>
      </c>
      <c r="F70" s="206" t="s">
        <v>5977</v>
      </c>
      <c r="G70" s="206" t="s">
        <v>6188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6193</v>
      </c>
      <c r="B71" s="299" t="s">
        <v>5875</v>
      </c>
      <c r="C71" s="206"/>
      <c r="D71" s="206" t="s">
        <v>5875</v>
      </c>
      <c r="E71" s="206" t="s">
        <v>6194</v>
      </c>
      <c r="F71" s="206" t="s">
        <v>6195</v>
      </c>
      <c r="G71" s="206" t="s">
        <v>6196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4897</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5860</v>
      </c>
      <c r="I82" s="206" t="s">
        <v>191</v>
      </c>
      <c r="J82" s="206" t="s">
        <v>6377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4654</v>
      </c>
      <c r="B6" s="93">
        <v>0</v>
      </c>
      <c r="C6" s="93">
        <v>3000</v>
      </c>
      <c r="D6" s="97" t="s">
        <v>4658</v>
      </c>
      <c r="E6" s="94"/>
      <c r="F6" s="94"/>
      <c r="G6" s="94"/>
    </row>
    <row r="7" spans="1:7">
      <c r="A7" s="97" t="s">
        <v>4654</v>
      </c>
      <c r="B7" s="93">
        <v>9200</v>
      </c>
      <c r="C7" s="93">
        <v>0</v>
      </c>
      <c r="D7" s="97" t="s">
        <v>4638</v>
      </c>
      <c r="E7" s="94"/>
      <c r="F7" s="94"/>
      <c r="G7" s="94"/>
    </row>
    <row r="8" spans="1:7">
      <c r="A8" s="97" t="s">
        <v>4656</v>
      </c>
      <c r="B8" s="93">
        <v>0</v>
      </c>
      <c r="C8" s="93">
        <v>1000</v>
      </c>
      <c r="D8" s="97" t="s">
        <v>315</v>
      </c>
      <c r="E8" s="94"/>
      <c r="F8" s="94"/>
      <c r="G8" s="94"/>
    </row>
    <row r="9" spans="1:7">
      <c r="A9" s="97" t="s">
        <v>4663</v>
      </c>
      <c r="B9" s="97">
        <v>0</v>
      </c>
      <c r="C9" s="97">
        <v>1000</v>
      </c>
      <c r="D9" s="97" t="s">
        <v>315</v>
      </c>
      <c r="E9" s="94"/>
      <c r="F9" s="94"/>
      <c r="G9" s="94"/>
    </row>
    <row r="10" spans="1:7">
      <c r="A10" s="97" t="s">
        <v>4663</v>
      </c>
      <c r="B10" s="93">
        <v>10200</v>
      </c>
      <c r="C10" s="93">
        <v>0</v>
      </c>
      <c r="D10" s="97" t="s">
        <v>4638</v>
      </c>
      <c r="E10" s="94"/>
      <c r="F10" s="94"/>
      <c r="G10" s="94"/>
    </row>
    <row r="11" spans="1:7">
      <c r="A11" s="97" t="s">
        <v>4675</v>
      </c>
      <c r="B11" s="93">
        <v>0</v>
      </c>
      <c r="C11" s="93">
        <v>1000</v>
      </c>
      <c r="D11" s="97" t="s">
        <v>315</v>
      </c>
      <c r="E11" s="94"/>
      <c r="F11" s="94"/>
      <c r="G11" s="94"/>
    </row>
    <row r="12" spans="1:7">
      <c r="A12" s="97" t="s">
        <v>4692</v>
      </c>
      <c r="B12" s="93">
        <v>0</v>
      </c>
      <c r="C12" s="93">
        <v>1000</v>
      </c>
      <c r="D12" s="97" t="s">
        <v>315</v>
      </c>
      <c r="E12" s="94"/>
      <c r="F12" s="94"/>
      <c r="G12" s="94"/>
    </row>
    <row r="13" spans="1:7">
      <c r="A13" s="97" t="s">
        <v>4693</v>
      </c>
      <c r="B13" s="93">
        <v>0</v>
      </c>
      <c r="C13" s="93">
        <v>1000</v>
      </c>
      <c r="D13" s="97" t="s">
        <v>315</v>
      </c>
      <c r="E13" s="94"/>
      <c r="F13" s="94"/>
      <c r="G13" s="94"/>
    </row>
    <row r="14" spans="1:7">
      <c r="A14" s="97" t="s">
        <v>4716</v>
      </c>
      <c r="B14" s="93">
        <v>0</v>
      </c>
      <c r="C14" s="93">
        <v>1000</v>
      </c>
      <c r="D14" s="97" t="s">
        <v>315</v>
      </c>
      <c r="E14" s="94"/>
      <c r="F14" s="94"/>
      <c r="G14" s="94"/>
    </row>
    <row r="15" spans="1:7">
      <c r="A15" s="97" t="s">
        <v>4702</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4721</v>
      </c>
      <c r="B18" s="93">
        <v>0</v>
      </c>
      <c r="C18" s="93">
        <v>1000</v>
      </c>
      <c r="D18" s="97" t="s">
        <v>315</v>
      </c>
      <c r="E18" s="94"/>
      <c r="F18" s="94"/>
      <c r="G18" s="94"/>
    </row>
    <row r="19" spans="1:9">
      <c r="A19" s="97" t="s">
        <v>4723</v>
      </c>
      <c r="B19" s="93">
        <v>0</v>
      </c>
      <c r="C19" s="93">
        <v>1000</v>
      </c>
      <c r="D19" s="97" t="s">
        <v>315</v>
      </c>
      <c r="E19" s="94"/>
      <c r="F19" s="94"/>
      <c r="G19" s="94"/>
    </row>
    <row r="20" spans="1:9">
      <c r="A20" s="97" t="s">
        <v>4725</v>
      </c>
      <c r="B20" s="93">
        <v>0</v>
      </c>
      <c r="C20" s="93">
        <v>1000</v>
      </c>
      <c r="D20" s="97" t="s">
        <v>315</v>
      </c>
      <c r="E20" s="94"/>
      <c r="F20" s="94"/>
      <c r="G20" s="94"/>
    </row>
    <row r="21" spans="1:9">
      <c r="A21" s="97" t="s">
        <v>4728</v>
      </c>
      <c r="B21" s="93">
        <v>0</v>
      </c>
      <c r="C21" s="93">
        <v>1000</v>
      </c>
      <c r="D21" s="97" t="s">
        <v>315</v>
      </c>
      <c r="E21" s="94"/>
      <c r="F21" s="94"/>
      <c r="G21" s="94"/>
    </row>
    <row r="22" spans="1:9">
      <c r="A22" s="97" t="s">
        <v>4728</v>
      </c>
      <c r="B22" s="93">
        <v>9600</v>
      </c>
      <c r="C22" s="93">
        <v>0</v>
      </c>
      <c r="D22" s="97" t="s">
        <v>4638</v>
      </c>
      <c r="E22" s="94"/>
      <c r="F22" s="94"/>
      <c r="G22" s="94"/>
      <c r="I22" t="s">
        <v>25</v>
      </c>
    </row>
    <row r="23" spans="1:9">
      <c r="A23" s="97" t="s">
        <v>4734</v>
      </c>
      <c r="B23" s="93">
        <v>0</v>
      </c>
      <c r="C23" s="93">
        <v>1000</v>
      </c>
      <c r="D23" s="97" t="s">
        <v>315</v>
      </c>
      <c r="E23" s="94"/>
      <c r="F23" s="94"/>
      <c r="G23" s="94"/>
    </row>
    <row r="24" spans="1:9">
      <c r="A24" s="97" t="s">
        <v>4739</v>
      </c>
      <c r="B24" s="93">
        <v>0</v>
      </c>
      <c r="C24" s="93">
        <v>1000</v>
      </c>
      <c r="D24" s="97" t="s">
        <v>315</v>
      </c>
      <c r="E24" s="94"/>
      <c r="F24" s="94"/>
      <c r="G24" s="94"/>
    </row>
    <row r="25" spans="1:9">
      <c r="A25" s="97" t="s">
        <v>4748</v>
      </c>
      <c r="B25" s="93">
        <v>0</v>
      </c>
      <c r="C25" s="93">
        <v>1000</v>
      </c>
      <c r="D25" s="97" t="s">
        <v>315</v>
      </c>
    </row>
    <row r="26" spans="1:9">
      <c r="A26" s="97" t="s">
        <v>4774</v>
      </c>
      <c r="B26" s="93">
        <v>0</v>
      </c>
      <c r="C26" s="93">
        <v>12000</v>
      </c>
      <c r="D26" s="97" t="s">
        <v>4781</v>
      </c>
    </row>
    <row r="27" spans="1:9">
      <c r="A27" s="97" t="s">
        <v>4775</v>
      </c>
      <c r="B27" s="93">
        <v>0</v>
      </c>
      <c r="C27" s="93">
        <v>1000</v>
      </c>
      <c r="D27" s="97" t="s">
        <v>315</v>
      </c>
    </row>
    <row r="28" spans="1:9">
      <c r="A28" s="97" t="s">
        <v>4782</v>
      </c>
      <c r="B28" s="93">
        <v>0</v>
      </c>
      <c r="C28" s="93">
        <v>1000</v>
      </c>
      <c r="D28" s="97" t="s">
        <v>315</v>
      </c>
    </row>
    <row r="29" spans="1:9">
      <c r="A29" s="97" t="s">
        <v>4783</v>
      </c>
      <c r="B29" s="93">
        <v>0</v>
      </c>
      <c r="C29" s="93">
        <v>1000</v>
      </c>
      <c r="D29" s="97" t="s">
        <v>315</v>
      </c>
    </row>
    <row r="30" spans="1:9">
      <c r="A30" s="97" t="s">
        <v>4784</v>
      </c>
      <c r="B30" s="93">
        <v>0</v>
      </c>
      <c r="C30" s="93">
        <v>5500</v>
      </c>
      <c r="D30" s="97" t="s">
        <v>4639</v>
      </c>
    </row>
    <row r="31" spans="1:9">
      <c r="A31" s="97" t="s">
        <v>4784</v>
      </c>
      <c r="B31" s="93">
        <v>11000</v>
      </c>
      <c r="C31" s="93">
        <v>0</v>
      </c>
      <c r="D31" s="97" t="s">
        <v>4638</v>
      </c>
    </row>
    <row r="32" spans="1:9">
      <c r="A32" s="97" t="s">
        <v>4792</v>
      </c>
      <c r="B32" s="93">
        <v>0</v>
      </c>
      <c r="C32" s="93">
        <v>1000</v>
      </c>
      <c r="D32" s="97" t="s">
        <v>315</v>
      </c>
      <c r="H32" t="s">
        <v>25</v>
      </c>
    </row>
    <row r="33" spans="1:10">
      <c r="A33" s="97" t="s">
        <v>4793</v>
      </c>
      <c r="B33" s="93">
        <v>0</v>
      </c>
      <c r="C33" s="93">
        <v>1000</v>
      </c>
      <c r="D33" s="97" t="s">
        <v>315</v>
      </c>
      <c r="H33" t="s">
        <v>25</v>
      </c>
    </row>
    <row r="34" spans="1:10">
      <c r="A34" s="97" t="s">
        <v>4795</v>
      </c>
      <c r="B34" s="93">
        <v>0</v>
      </c>
      <c r="C34" s="93">
        <v>1000</v>
      </c>
      <c r="D34" s="97" t="s">
        <v>315</v>
      </c>
    </row>
    <row r="35" spans="1:10">
      <c r="A35" s="97" t="s">
        <v>4796</v>
      </c>
      <c r="B35" s="93">
        <v>0</v>
      </c>
      <c r="C35" s="93">
        <v>1000</v>
      </c>
      <c r="D35" s="97" t="s">
        <v>315</v>
      </c>
      <c r="J35" t="s">
        <v>25</v>
      </c>
    </row>
    <row r="36" spans="1:10">
      <c r="A36" s="97" t="s">
        <v>4801</v>
      </c>
      <c r="B36" s="93">
        <v>1000</v>
      </c>
      <c r="C36" s="93">
        <v>0</v>
      </c>
      <c r="D36" s="97" t="s">
        <v>315</v>
      </c>
    </row>
    <row r="37" spans="1:10">
      <c r="A37" s="97" t="s">
        <v>4801</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4656</v>
      </c>
      <c r="B48" s="214">
        <v>6700</v>
      </c>
      <c r="C48" s="214">
        <v>0</v>
      </c>
      <c r="D48" s="23" t="s">
        <v>4659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5267</v>
      </c>
      <c r="E1" s="97"/>
      <c r="F1" s="97"/>
      <c r="G1" s="97"/>
      <c r="H1" s="97"/>
      <c r="I1" s="97"/>
    </row>
    <row r="2" spans="1:15">
      <c r="A2" s="97">
        <v>1</v>
      </c>
      <c r="B2" s="97" t="s">
        <v>5177</v>
      </c>
      <c r="C2" s="93">
        <v>28500</v>
      </c>
      <c r="D2" s="97" t="s">
        <v>5270</v>
      </c>
      <c r="E2" s="97"/>
      <c r="F2" s="97"/>
      <c r="G2" s="97"/>
      <c r="H2" s="97"/>
      <c r="I2" s="97"/>
    </row>
    <row r="3" spans="1:15">
      <c r="A3" s="97">
        <v>2</v>
      </c>
      <c r="B3" s="97" t="s">
        <v>5204</v>
      </c>
      <c r="C3" s="93">
        <v>180200</v>
      </c>
      <c r="D3" s="97" t="s">
        <v>5269</v>
      </c>
      <c r="E3" s="97"/>
      <c r="F3" s="97"/>
      <c r="G3" s="97"/>
      <c r="H3" s="97"/>
      <c r="I3" s="97"/>
    </row>
    <row r="4" spans="1:15">
      <c r="A4" s="97">
        <v>3</v>
      </c>
      <c r="B4" s="97" t="s">
        <v>5263</v>
      </c>
      <c r="C4" s="93">
        <v>187000</v>
      </c>
      <c r="D4" s="97" t="s">
        <v>5268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6200</v>
      </c>
      <c r="C1" s="206"/>
      <c r="D1" s="206"/>
      <c r="E1" s="206"/>
      <c r="F1" s="206"/>
      <c r="G1" s="206"/>
      <c r="H1" s="206"/>
      <c r="I1" s="206"/>
      <c r="J1" s="206"/>
      <c r="K1" s="206"/>
      <c r="L1" s="206"/>
      <c r="M1" s="206"/>
      <c r="N1" s="206"/>
      <c r="O1" s="206"/>
      <c r="P1" s="206"/>
      <c r="Q1" s="206"/>
      <c r="R1" s="206"/>
      <c r="S1" s="206"/>
      <c r="T1" s="206"/>
      <c r="U1" s="206" t="s">
        <v>6201</v>
      </c>
      <c r="V1" s="206"/>
      <c r="W1" s="206"/>
      <c r="X1" s="206"/>
      <c r="Y1" s="206" t="s">
        <v>5857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5858</v>
      </c>
      <c r="D2" s="206"/>
      <c r="E2" s="206"/>
      <c r="F2" s="206" t="s">
        <v>5856</v>
      </c>
      <c r="G2" s="206"/>
      <c r="H2" s="206"/>
      <c r="I2" s="206" t="s">
        <v>5858</v>
      </c>
      <c r="J2" s="206"/>
      <c r="K2" s="206"/>
      <c r="L2" s="206" t="s">
        <v>4824</v>
      </c>
      <c r="M2" s="206"/>
      <c r="N2" s="206"/>
      <c r="O2" s="206"/>
      <c r="P2" s="206"/>
      <c r="Q2" s="206" t="s">
        <v>5858</v>
      </c>
      <c r="R2" s="206"/>
      <c r="S2" s="206"/>
      <c r="T2" s="206" t="s">
        <v>4824</v>
      </c>
      <c r="U2" s="206"/>
      <c r="V2" s="206"/>
      <c r="W2" s="206"/>
      <c r="X2" s="206"/>
      <c r="Y2" s="206"/>
      <c r="Z2" s="206"/>
      <c r="AA2" s="206"/>
      <c r="AB2" s="206" t="s">
        <v>5859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6202</v>
      </c>
      <c r="B4" s="206"/>
      <c r="C4" s="206" t="s">
        <v>6203</v>
      </c>
      <c r="D4" s="206"/>
      <c r="E4" s="206"/>
      <c r="F4" s="206" t="s">
        <v>6204</v>
      </c>
      <c r="G4" s="206"/>
      <c r="H4" s="206"/>
      <c r="I4" s="206" t="s">
        <v>6205</v>
      </c>
      <c r="J4" s="206"/>
      <c r="K4" s="206"/>
      <c r="L4" s="206"/>
      <c r="M4" s="206"/>
      <c r="N4" s="206" t="s">
        <v>6206</v>
      </c>
      <c r="O4" s="206"/>
      <c r="P4" s="206"/>
      <c r="Q4" s="206" t="s">
        <v>6207</v>
      </c>
      <c r="R4" s="206"/>
      <c r="S4" s="206"/>
      <c r="T4" s="206"/>
      <c r="U4" s="206" t="s">
        <v>6208</v>
      </c>
      <c r="V4" s="206"/>
      <c r="W4" s="206"/>
      <c r="X4" s="206"/>
      <c r="Y4" s="206" t="s">
        <v>5865</v>
      </c>
      <c r="Z4" s="206"/>
      <c r="AA4" s="206" t="s">
        <v>6209</v>
      </c>
      <c r="AB4" s="206"/>
      <c r="AC4" s="206"/>
      <c r="AD4" s="206" t="s">
        <v>6210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6211</v>
      </c>
      <c r="B6" s="206"/>
      <c r="C6" s="206" t="s">
        <v>6212</v>
      </c>
      <c r="D6" s="206"/>
      <c r="E6" s="206"/>
      <c r="F6" s="206" t="s">
        <v>6213</v>
      </c>
      <c r="G6" s="206"/>
      <c r="H6" s="206"/>
      <c r="I6" s="206" t="s">
        <v>5875</v>
      </c>
      <c r="J6" s="206"/>
      <c r="K6" s="206"/>
      <c r="L6" s="206"/>
      <c r="M6" s="206"/>
      <c r="N6" s="206" t="s">
        <v>5875</v>
      </c>
      <c r="O6" s="206"/>
      <c r="P6" s="206"/>
      <c r="Q6" s="206" t="s">
        <v>6212</v>
      </c>
      <c r="R6" s="206"/>
      <c r="S6" s="206"/>
      <c r="T6" s="206"/>
      <c r="U6" s="206" t="s">
        <v>6214</v>
      </c>
      <c r="V6" s="206"/>
      <c r="W6" s="206"/>
      <c r="X6" s="206"/>
      <c r="Y6" s="206" t="s">
        <v>5865</v>
      </c>
      <c r="Z6" s="206"/>
      <c r="AA6" s="206" t="s">
        <v>6215</v>
      </c>
      <c r="AB6" s="206"/>
      <c r="AC6" s="206"/>
      <c r="AD6" s="206" t="s">
        <v>6216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6217</v>
      </c>
      <c r="B7" s="206"/>
      <c r="C7" s="206" t="s">
        <v>6218</v>
      </c>
      <c r="D7" s="206"/>
      <c r="E7" s="206"/>
      <c r="F7" s="206" t="s">
        <v>6219</v>
      </c>
      <c r="G7" s="206"/>
      <c r="H7" s="206"/>
      <c r="I7" s="206" t="s">
        <v>5875</v>
      </c>
      <c r="J7" s="206"/>
      <c r="K7" s="206"/>
      <c r="L7" s="206"/>
      <c r="M7" s="206"/>
      <c r="N7" s="206" t="s">
        <v>5875</v>
      </c>
      <c r="O7" s="206"/>
      <c r="P7" s="206"/>
      <c r="Q7" s="206" t="s">
        <v>6218</v>
      </c>
      <c r="R7" s="206"/>
      <c r="S7" s="206"/>
      <c r="T7" s="206"/>
      <c r="U7" s="206" t="s">
        <v>6220</v>
      </c>
      <c r="V7" s="206"/>
      <c r="W7" s="206"/>
      <c r="X7" s="206"/>
      <c r="Y7" s="206" t="s">
        <v>5865</v>
      </c>
      <c r="Z7" s="206"/>
      <c r="AA7" s="206" t="s">
        <v>6221</v>
      </c>
      <c r="AB7" s="206"/>
      <c r="AC7" s="206"/>
      <c r="AD7" s="206" t="s">
        <v>6222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6223</v>
      </c>
      <c r="B8" s="206"/>
      <c r="C8" s="206" t="s">
        <v>6224</v>
      </c>
      <c r="D8" s="206"/>
      <c r="E8" s="206"/>
      <c r="F8" s="206" t="s">
        <v>6225</v>
      </c>
      <c r="G8" s="206"/>
      <c r="H8" s="206"/>
      <c r="I8" s="206" t="s">
        <v>5875</v>
      </c>
      <c r="J8" s="206"/>
      <c r="K8" s="206"/>
      <c r="L8" s="206"/>
      <c r="M8" s="206"/>
      <c r="N8" s="206" t="s">
        <v>5875</v>
      </c>
      <c r="O8" s="206"/>
      <c r="P8" s="206"/>
      <c r="Q8" s="206" t="s">
        <v>6224</v>
      </c>
      <c r="R8" s="206"/>
      <c r="S8" s="206"/>
      <c r="T8" s="206"/>
      <c r="U8" s="206" t="s">
        <v>6226</v>
      </c>
      <c r="V8" s="206"/>
      <c r="W8" s="206"/>
      <c r="X8" s="206"/>
      <c r="Y8" s="206" t="s">
        <v>6227</v>
      </c>
      <c r="Z8" s="206"/>
      <c r="AA8" s="206" t="s">
        <v>5923</v>
      </c>
      <c r="AB8" s="206"/>
      <c r="AC8" s="206"/>
      <c r="AD8" s="206" t="s">
        <v>6228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6229</v>
      </c>
      <c r="B9" s="206"/>
      <c r="C9" s="206" t="s">
        <v>6230</v>
      </c>
      <c r="D9" s="206"/>
      <c r="E9" s="206"/>
      <c r="F9" s="206" t="s">
        <v>6231</v>
      </c>
      <c r="G9" s="206"/>
      <c r="H9" s="206"/>
      <c r="I9" s="206" t="s">
        <v>5875</v>
      </c>
      <c r="J9" s="206"/>
      <c r="K9" s="206"/>
      <c r="L9" s="206"/>
      <c r="M9" s="206"/>
      <c r="N9" s="206" t="s">
        <v>5875</v>
      </c>
      <c r="O9" s="206"/>
      <c r="P9" s="206"/>
      <c r="Q9" s="206" t="s">
        <v>6230</v>
      </c>
      <c r="R9" s="206"/>
      <c r="S9" s="206"/>
      <c r="T9" s="206"/>
      <c r="U9" s="206" t="s">
        <v>6232</v>
      </c>
      <c r="V9" s="206"/>
      <c r="W9" s="206"/>
      <c r="X9" s="206"/>
      <c r="Y9" s="206" t="s">
        <v>6227</v>
      </c>
      <c r="Z9" s="206"/>
      <c r="AA9" s="206" t="s">
        <v>6195</v>
      </c>
      <c r="AB9" s="206"/>
      <c r="AC9" s="206"/>
      <c r="AD9" s="206" t="s">
        <v>6233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6234</v>
      </c>
      <c r="B10" s="206"/>
      <c r="C10" s="206" t="s">
        <v>6235</v>
      </c>
      <c r="D10" s="206"/>
      <c r="E10" s="206"/>
      <c r="F10" s="206" t="s">
        <v>6236</v>
      </c>
      <c r="G10" s="206"/>
      <c r="H10" s="206"/>
      <c r="I10" s="206" t="s">
        <v>5875</v>
      </c>
      <c r="J10" s="206"/>
      <c r="K10" s="206"/>
      <c r="L10" s="206"/>
      <c r="M10" s="206"/>
      <c r="N10" s="206" t="s">
        <v>5875</v>
      </c>
      <c r="O10" s="206"/>
      <c r="P10" s="206"/>
      <c r="Q10" s="206" t="s">
        <v>6235</v>
      </c>
      <c r="R10" s="206"/>
      <c r="S10" s="206"/>
      <c r="T10" s="206"/>
      <c r="U10" s="206" t="s">
        <v>6237</v>
      </c>
      <c r="V10" s="206"/>
      <c r="W10" s="206"/>
      <c r="X10" s="206"/>
      <c r="Y10" s="206" t="s">
        <v>6227</v>
      </c>
      <c r="Z10" s="206"/>
      <c r="AA10" s="206" t="s">
        <v>6238</v>
      </c>
      <c r="AB10" s="206"/>
      <c r="AC10" s="206"/>
      <c r="AD10" s="206" t="s">
        <v>6239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6240</v>
      </c>
      <c r="B11" s="206"/>
      <c r="C11" s="206" t="s">
        <v>6241</v>
      </c>
      <c r="D11" s="206"/>
      <c r="E11" s="206"/>
      <c r="F11" s="206" t="s">
        <v>6242</v>
      </c>
      <c r="G11" s="206"/>
      <c r="H11" s="206"/>
      <c r="I11" s="206" t="s">
        <v>5875</v>
      </c>
      <c r="J11" s="206"/>
      <c r="K11" s="206"/>
      <c r="L11" s="206"/>
      <c r="M11" s="206"/>
      <c r="N11" s="206" t="s">
        <v>5875</v>
      </c>
      <c r="O11" s="206"/>
      <c r="P11" s="206"/>
      <c r="Q11" s="206" t="s">
        <v>6241</v>
      </c>
      <c r="R11" s="206"/>
      <c r="S11" s="206"/>
      <c r="T11" s="206"/>
      <c r="U11" s="206" t="s">
        <v>6243</v>
      </c>
      <c r="V11" s="206"/>
      <c r="W11" s="206"/>
      <c r="X11" s="206"/>
      <c r="Y11" s="206" t="s">
        <v>6227</v>
      </c>
      <c r="Z11" s="206"/>
      <c r="AA11" s="206" t="s">
        <v>6141</v>
      </c>
      <c r="AB11" s="206"/>
      <c r="AC11" s="206"/>
      <c r="AD11" s="206" t="s">
        <v>6244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6245</v>
      </c>
      <c r="B12" s="206"/>
      <c r="C12" s="206" t="s">
        <v>6246</v>
      </c>
      <c r="D12" s="206"/>
      <c r="E12" s="206"/>
      <c r="F12" s="206" t="s">
        <v>6247</v>
      </c>
      <c r="G12" s="206"/>
      <c r="H12" s="206"/>
      <c r="I12" s="206" t="s">
        <v>5875</v>
      </c>
      <c r="J12" s="206"/>
      <c r="K12" s="206"/>
      <c r="L12" s="206"/>
      <c r="M12" s="206"/>
      <c r="N12" s="206" t="s">
        <v>5875</v>
      </c>
      <c r="O12" s="206"/>
      <c r="P12" s="206"/>
      <c r="Q12" s="206" t="s">
        <v>6246</v>
      </c>
      <c r="R12" s="206"/>
      <c r="S12" s="206"/>
      <c r="T12" s="206"/>
      <c r="U12" s="206" t="s">
        <v>6248</v>
      </c>
      <c r="V12" s="206"/>
      <c r="W12" s="206"/>
      <c r="X12" s="206"/>
      <c r="Y12" s="206" t="s">
        <v>5865</v>
      </c>
      <c r="Z12" s="206"/>
      <c r="AA12" s="206" t="s">
        <v>6195</v>
      </c>
      <c r="AB12" s="206"/>
      <c r="AC12" s="206"/>
      <c r="AD12" s="206" t="s">
        <v>6249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6250</v>
      </c>
      <c r="B13" s="206"/>
      <c r="C13" s="206" t="s">
        <v>6251</v>
      </c>
      <c r="D13" s="206"/>
      <c r="E13" s="206"/>
      <c r="F13" s="206" t="s">
        <v>6252</v>
      </c>
      <c r="G13" s="206"/>
      <c r="H13" s="206"/>
      <c r="I13" s="206" t="s">
        <v>5875</v>
      </c>
      <c r="J13" s="206"/>
      <c r="K13" s="206"/>
      <c r="L13" s="206"/>
      <c r="M13" s="206"/>
      <c r="N13" s="206" t="s">
        <v>5875</v>
      </c>
      <c r="O13" s="206"/>
      <c r="P13" s="206"/>
      <c r="Q13" s="206" t="s">
        <v>6251</v>
      </c>
      <c r="R13" s="206"/>
      <c r="S13" s="206"/>
      <c r="T13" s="206"/>
      <c r="U13" s="206" t="s">
        <v>6253</v>
      </c>
      <c r="V13" s="206"/>
      <c r="W13" s="206"/>
      <c r="X13" s="206"/>
      <c r="Y13" s="206" t="s">
        <v>5865</v>
      </c>
      <c r="Z13" s="206"/>
      <c r="AA13" s="206" t="s">
        <v>6254</v>
      </c>
      <c r="AB13" s="206"/>
      <c r="AC13" s="206"/>
      <c r="AD13" s="206" t="s">
        <v>6255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5865</v>
      </c>
      <c r="B14" s="206"/>
      <c r="C14" s="206" t="s">
        <v>6256</v>
      </c>
      <c r="D14" s="206"/>
      <c r="E14" s="206"/>
      <c r="F14" s="206" t="s">
        <v>6247</v>
      </c>
      <c r="G14" s="206"/>
      <c r="H14" s="206"/>
      <c r="I14" s="206" t="s">
        <v>5875</v>
      </c>
      <c r="J14" s="206"/>
      <c r="K14" s="206"/>
      <c r="L14" s="206"/>
      <c r="M14" s="206"/>
      <c r="N14" s="206" t="s">
        <v>5875</v>
      </c>
      <c r="O14" s="206"/>
      <c r="P14" s="206"/>
      <c r="Q14" s="206" t="s">
        <v>6256</v>
      </c>
      <c r="R14" s="206"/>
      <c r="S14" s="206"/>
      <c r="T14" s="206"/>
      <c r="U14" s="206" t="s">
        <v>6257</v>
      </c>
      <c r="V14" s="206"/>
      <c r="W14" s="206"/>
      <c r="X14" s="206"/>
      <c r="Y14" s="206" t="s">
        <v>5865</v>
      </c>
      <c r="Z14" s="206"/>
      <c r="AA14" s="206" t="s">
        <v>6258</v>
      </c>
      <c r="AB14" s="206"/>
      <c r="AC14" s="206"/>
      <c r="AD14" s="206" t="s">
        <v>6259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6260</v>
      </c>
      <c r="B15" s="206"/>
      <c r="C15" s="206" t="s">
        <v>6261</v>
      </c>
      <c r="D15" s="206"/>
      <c r="E15" s="206"/>
      <c r="F15" s="206" t="s">
        <v>6262</v>
      </c>
      <c r="G15" s="206"/>
      <c r="H15" s="206"/>
      <c r="I15" s="206" t="s">
        <v>5875</v>
      </c>
      <c r="J15" s="206"/>
      <c r="K15" s="206"/>
      <c r="L15" s="206"/>
      <c r="M15" s="206"/>
      <c r="N15" s="206" t="s">
        <v>5875</v>
      </c>
      <c r="O15" s="206"/>
      <c r="P15" s="206"/>
      <c r="Q15" s="206" t="s">
        <v>6261</v>
      </c>
      <c r="R15" s="206"/>
      <c r="S15" s="206"/>
      <c r="T15" s="206"/>
      <c r="U15" s="206" t="s">
        <v>6263</v>
      </c>
      <c r="V15" s="206"/>
      <c r="W15" s="206"/>
      <c r="X15" s="206"/>
      <c r="Y15" s="206" t="s">
        <v>6227</v>
      </c>
      <c r="Z15" s="206"/>
      <c r="AA15" s="206" t="s">
        <v>6141</v>
      </c>
      <c r="AB15" s="206"/>
      <c r="AC15" s="206"/>
      <c r="AD15" s="206" t="s">
        <v>6264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6265</v>
      </c>
      <c r="B16" s="206"/>
      <c r="C16" s="206" t="s">
        <v>6266</v>
      </c>
      <c r="D16" s="206"/>
      <c r="E16" s="206"/>
      <c r="F16" s="206" t="s">
        <v>6267</v>
      </c>
      <c r="G16" s="206"/>
      <c r="H16" s="206"/>
      <c r="I16" s="206" t="s">
        <v>5875</v>
      </c>
      <c r="J16" s="206"/>
      <c r="K16" s="206"/>
      <c r="L16" s="206"/>
      <c r="M16" s="206"/>
      <c r="N16" s="206" t="s">
        <v>5875</v>
      </c>
      <c r="O16" s="206"/>
      <c r="P16" s="206"/>
      <c r="Q16" s="206" t="s">
        <v>6266</v>
      </c>
      <c r="R16" s="206"/>
      <c r="S16" s="206"/>
      <c r="T16" s="206"/>
      <c r="U16" s="206" t="s">
        <v>6266</v>
      </c>
      <c r="V16" s="206"/>
      <c r="W16" s="206"/>
      <c r="X16" s="206"/>
      <c r="Y16" s="206" t="s">
        <v>6265</v>
      </c>
      <c r="Z16" s="206"/>
      <c r="AA16" s="206" t="s">
        <v>6120</v>
      </c>
      <c r="AB16" s="206"/>
      <c r="AC16" s="206"/>
      <c r="AD16" s="206" t="s">
        <v>6268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6265</v>
      </c>
      <c r="B17" s="206"/>
      <c r="C17" s="206" t="s">
        <v>6269</v>
      </c>
      <c r="D17" s="206"/>
      <c r="E17" s="206"/>
      <c r="F17" s="206" t="s">
        <v>6270</v>
      </c>
      <c r="G17" s="206"/>
      <c r="H17" s="206"/>
      <c r="I17" s="206" t="s">
        <v>5875</v>
      </c>
      <c r="J17" s="206"/>
      <c r="K17" s="206"/>
      <c r="L17" s="206"/>
      <c r="M17" s="206"/>
      <c r="N17" s="206" t="s">
        <v>5875</v>
      </c>
      <c r="O17" s="206"/>
      <c r="P17" s="206"/>
      <c r="Q17" s="206" t="s">
        <v>6269</v>
      </c>
      <c r="R17" s="206"/>
      <c r="S17" s="206"/>
      <c r="T17" s="206"/>
      <c r="U17" s="206" t="s">
        <v>6269</v>
      </c>
      <c r="V17" s="206"/>
      <c r="W17" s="206"/>
      <c r="X17" s="206"/>
      <c r="Y17" s="206" t="s">
        <v>6265</v>
      </c>
      <c r="Z17" s="206"/>
      <c r="AA17" s="206" t="s">
        <v>6271</v>
      </c>
      <c r="AB17" s="206"/>
      <c r="AC17" s="206"/>
      <c r="AD17" s="206" t="s">
        <v>6272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6273</v>
      </c>
      <c r="B18" s="206"/>
      <c r="C18" s="206" t="s">
        <v>6274</v>
      </c>
      <c r="D18" s="206"/>
      <c r="E18" s="206"/>
      <c r="F18" s="206" t="s">
        <v>6053</v>
      </c>
      <c r="G18" s="206"/>
      <c r="H18" s="206"/>
      <c r="I18" s="206" t="s">
        <v>5875</v>
      </c>
      <c r="J18" s="206"/>
      <c r="K18" s="206"/>
      <c r="L18" s="206"/>
      <c r="M18" s="206"/>
      <c r="N18" s="206" t="s">
        <v>5875</v>
      </c>
      <c r="O18" s="206"/>
      <c r="P18" s="206"/>
      <c r="Q18" s="206" t="s">
        <v>6274</v>
      </c>
      <c r="R18" s="206"/>
      <c r="S18" s="206"/>
      <c r="T18" s="206"/>
      <c r="U18" s="206" t="s">
        <v>6275</v>
      </c>
      <c r="V18" s="206"/>
      <c r="W18" s="206"/>
      <c r="X18" s="206"/>
      <c r="Y18" s="206" t="s">
        <v>6227</v>
      </c>
      <c r="Z18" s="206"/>
      <c r="AA18" s="206" t="s">
        <v>6141</v>
      </c>
      <c r="AB18" s="206"/>
      <c r="AC18" s="206"/>
      <c r="AD18" s="206" t="s">
        <v>6276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6277</v>
      </c>
      <c r="B19" s="206"/>
      <c r="C19" s="206" t="s">
        <v>6278</v>
      </c>
      <c r="D19" s="206"/>
      <c r="E19" s="206"/>
      <c r="F19" s="206" t="s">
        <v>5951</v>
      </c>
      <c r="G19" s="206"/>
      <c r="H19" s="206"/>
      <c r="I19" s="206" t="s">
        <v>5875</v>
      </c>
      <c r="J19" s="206"/>
      <c r="K19" s="206"/>
      <c r="L19" s="206"/>
      <c r="M19" s="206"/>
      <c r="N19" s="206" t="s">
        <v>5875</v>
      </c>
      <c r="O19" s="206"/>
      <c r="P19" s="206"/>
      <c r="Q19" s="206" t="s">
        <v>6278</v>
      </c>
      <c r="R19" s="206"/>
      <c r="S19" s="206"/>
      <c r="T19" s="206"/>
      <c r="U19" s="206" t="s">
        <v>6258</v>
      </c>
      <c r="V19" s="206"/>
      <c r="W19" s="206"/>
      <c r="X19" s="206"/>
      <c r="Y19" s="206" t="s">
        <v>5865</v>
      </c>
      <c r="Z19" s="206"/>
      <c r="AA19" s="206" t="s">
        <v>6279</v>
      </c>
      <c r="AB19" s="206"/>
      <c r="AC19" s="206"/>
      <c r="AD19" s="206" t="s">
        <v>6280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6281</v>
      </c>
      <c r="B20" s="206"/>
      <c r="C20" s="206" t="s">
        <v>6282</v>
      </c>
      <c r="D20" s="206"/>
      <c r="E20" s="206"/>
      <c r="F20" s="206" t="s">
        <v>5926</v>
      </c>
      <c r="G20" s="206"/>
      <c r="H20" s="206"/>
      <c r="I20" s="206" t="s">
        <v>5875</v>
      </c>
      <c r="J20" s="206"/>
      <c r="K20" s="206"/>
      <c r="L20" s="206"/>
      <c r="M20" s="206"/>
      <c r="N20" s="206" t="s">
        <v>5875</v>
      </c>
      <c r="O20" s="206"/>
      <c r="P20" s="206"/>
      <c r="Q20" s="206" t="s">
        <v>6282</v>
      </c>
      <c r="R20" s="206"/>
      <c r="S20" s="206"/>
      <c r="T20" s="206"/>
      <c r="U20" s="206" t="s">
        <v>6283</v>
      </c>
      <c r="V20" s="206"/>
      <c r="W20" s="206"/>
      <c r="X20" s="206"/>
      <c r="Y20" s="206" t="s">
        <v>6265</v>
      </c>
      <c r="Z20" s="206"/>
      <c r="AA20" s="206" t="s">
        <v>6065</v>
      </c>
      <c r="AB20" s="206"/>
      <c r="AC20" s="206"/>
      <c r="AD20" s="206" t="s">
        <v>6284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6227</v>
      </c>
      <c r="B21" s="206"/>
      <c r="C21" s="206" t="s">
        <v>5865</v>
      </c>
      <c r="D21" s="206"/>
      <c r="E21" s="206"/>
      <c r="F21" s="206" t="s">
        <v>6247</v>
      </c>
      <c r="G21" s="206"/>
      <c r="H21" s="206"/>
      <c r="I21" s="206" t="s">
        <v>5875</v>
      </c>
      <c r="J21" s="206"/>
      <c r="K21" s="206"/>
      <c r="L21" s="206"/>
      <c r="M21" s="206"/>
      <c r="N21" s="206" t="s">
        <v>5875</v>
      </c>
      <c r="O21" s="206"/>
      <c r="P21" s="206"/>
      <c r="Q21" s="206" t="s">
        <v>5865</v>
      </c>
      <c r="R21" s="206"/>
      <c r="S21" s="206"/>
      <c r="T21" s="206"/>
      <c r="U21" s="206" t="s">
        <v>6256</v>
      </c>
      <c r="V21" s="206"/>
      <c r="W21" s="206"/>
      <c r="X21" s="206"/>
      <c r="Y21" s="206" t="s">
        <v>6227</v>
      </c>
      <c r="Z21" s="206"/>
      <c r="AA21" s="206" t="s">
        <v>5865</v>
      </c>
      <c r="AB21" s="206"/>
      <c r="AC21" s="206"/>
      <c r="AD21" s="206" t="s">
        <v>6285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6286</v>
      </c>
      <c r="B22" s="206"/>
      <c r="C22" s="206" t="s">
        <v>6287</v>
      </c>
      <c r="D22" s="206"/>
      <c r="E22" s="206"/>
      <c r="F22" s="206" t="s">
        <v>6172</v>
      </c>
      <c r="G22" s="206"/>
      <c r="H22" s="206"/>
      <c r="I22" s="206" t="s">
        <v>5875</v>
      </c>
      <c r="J22" s="206"/>
      <c r="K22" s="206"/>
      <c r="L22" s="206"/>
      <c r="M22" s="206"/>
      <c r="N22" s="206" t="s">
        <v>5875</v>
      </c>
      <c r="O22" s="206"/>
      <c r="P22" s="206"/>
      <c r="Q22" s="206" t="s">
        <v>6287</v>
      </c>
      <c r="R22" s="206"/>
      <c r="S22" s="206"/>
      <c r="T22" s="206"/>
      <c r="U22" s="206" t="s">
        <v>6288</v>
      </c>
      <c r="V22" s="206"/>
      <c r="W22" s="206"/>
      <c r="X22" s="206"/>
      <c r="Y22" s="206" t="s">
        <v>6227</v>
      </c>
      <c r="Z22" s="206"/>
      <c r="AA22" s="206" t="s">
        <v>6289</v>
      </c>
      <c r="AB22" s="206"/>
      <c r="AC22" s="206"/>
      <c r="AD22" s="206" t="s">
        <v>6290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5865</v>
      </c>
      <c r="B23" s="206"/>
      <c r="C23" s="206" t="s">
        <v>6291</v>
      </c>
      <c r="D23" s="206"/>
      <c r="E23" s="206"/>
      <c r="F23" s="206" t="s">
        <v>6172</v>
      </c>
      <c r="G23" s="206"/>
      <c r="H23" s="206"/>
      <c r="I23" s="206" t="s">
        <v>5875</v>
      </c>
      <c r="J23" s="206"/>
      <c r="K23" s="206"/>
      <c r="L23" s="206"/>
      <c r="M23" s="206"/>
      <c r="N23" s="206" t="s">
        <v>5875</v>
      </c>
      <c r="O23" s="206"/>
      <c r="P23" s="206"/>
      <c r="Q23" s="206" t="s">
        <v>6291</v>
      </c>
      <c r="R23" s="206"/>
      <c r="S23" s="206"/>
      <c r="T23" s="206"/>
      <c r="U23" s="206" t="s">
        <v>6227</v>
      </c>
      <c r="V23" s="206"/>
      <c r="W23" s="206"/>
      <c r="X23" s="206"/>
      <c r="Y23" s="206" t="s">
        <v>5865</v>
      </c>
      <c r="Z23" s="206"/>
      <c r="AA23" s="206" t="s">
        <v>6292</v>
      </c>
      <c r="AB23" s="206"/>
      <c r="AC23" s="206"/>
      <c r="AD23" s="206" t="s">
        <v>6293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5875</v>
      </c>
      <c r="B24" s="206"/>
      <c r="C24" s="206" t="s">
        <v>6294</v>
      </c>
      <c r="D24" s="206"/>
      <c r="E24" s="206"/>
      <c r="F24" s="206" t="s">
        <v>6172</v>
      </c>
      <c r="G24" s="206"/>
      <c r="H24" s="206"/>
      <c r="I24" s="206" t="s">
        <v>5875</v>
      </c>
      <c r="J24" s="206"/>
      <c r="K24" s="206"/>
      <c r="L24" s="206"/>
      <c r="M24" s="206"/>
      <c r="N24" s="206" t="s">
        <v>5875</v>
      </c>
      <c r="O24" s="206"/>
      <c r="P24" s="206"/>
      <c r="Q24" s="206" t="s">
        <v>6294</v>
      </c>
      <c r="R24" s="206"/>
      <c r="S24" s="206"/>
      <c r="T24" s="206"/>
      <c r="U24" s="206" t="s">
        <v>5875</v>
      </c>
      <c r="V24" s="206"/>
      <c r="W24" s="206"/>
      <c r="X24" s="206"/>
      <c r="Y24" s="206" t="s">
        <v>5875</v>
      </c>
      <c r="Z24" s="206"/>
      <c r="AA24" s="206" t="s">
        <v>5875</v>
      </c>
      <c r="AB24" s="206"/>
      <c r="AC24" s="206"/>
      <c r="AD24" s="206" t="s">
        <v>6295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6296</v>
      </c>
      <c r="D25" s="206"/>
      <c r="E25" s="206"/>
      <c r="F25" s="206"/>
      <c r="G25" s="206"/>
      <c r="H25" s="206" t="s">
        <v>6205</v>
      </c>
      <c r="I25" s="206"/>
      <c r="J25" s="206"/>
      <c r="K25" s="206"/>
      <c r="L25" s="206" t="s">
        <v>6297</v>
      </c>
      <c r="M25" s="206"/>
      <c r="N25" s="206"/>
      <c r="O25" s="206"/>
      <c r="P25" s="206"/>
      <c r="Q25" s="206"/>
      <c r="R25" s="206"/>
      <c r="S25" s="206"/>
      <c r="T25" s="206" t="s">
        <v>4897</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6298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6299</v>
      </c>
      <c r="B28" s="206"/>
      <c r="C28" s="206"/>
      <c r="D28" s="206"/>
      <c r="E28" s="206"/>
      <c r="F28" s="206" t="s">
        <v>6300</v>
      </c>
      <c r="G28" s="206"/>
      <c r="H28" s="206"/>
      <c r="I28" s="206"/>
      <c r="J28" s="206"/>
      <c r="K28" s="206"/>
      <c r="L28" s="206"/>
      <c r="M28" s="206"/>
      <c r="N28" s="206"/>
      <c r="O28" s="206"/>
      <c r="P28" s="206"/>
      <c r="Q28" s="206" t="s">
        <v>6200</v>
      </c>
      <c r="R28" s="206"/>
      <c r="S28" s="206"/>
      <c r="T28" s="206"/>
      <c r="U28" s="206" t="s">
        <v>5859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5875</v>
      </c>
      <c r="B29" s="206"/>
      <c r="C29" s="206"/>
      <c r="D29" s="206"/>
      <c r="E29" s="206"/>
      <c r="F29" s="206" t="s">
        <v>6301</v>
      </c>
      <c r="G29" s="206"/>
      <c r="H29" s="206"/>
      <c r="I29" s="206"/>
      <c r="J29" s="206"/>
      <c r="K29" s="206"/>
      <c r="L29" s="206"/>
      <c r="M29" s="206"/>
      <c r="N29" s="206"/>
      <c r="O29" s="206"/>
      <c r="P29" s="206"/>
      <c r="Q29" s="206" t="s">
        <v>6175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6302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5875</v>
      </c>
      <c r="B31" s="206"/>
      <c r="C31" s="206"/>
      <c r="D31" s="206"/>
      <c r="E31" s="206"/>
      <c r="F31" s="206" t="s">
        <v>5886</v>
      </c>
      <c r="G31" s="206"/>
      <c r="H31" s="206"/>
      <c r="I31" s="206"/>
      <c r="J31" s="206"/>
      <c r="K31" s="206"/>
      <c r="L31" s="206"/>
      <c r="M31" s="206"/>
      <c r="N31" s="206"/>
      <c r="O31" s="206"/>
      <c r="P31" s="206"/>
      <c r="Q31" s="206" t="s">
        <v>5890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6303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5875</v>
      </c>
      <c r="B33" s="206"/>
      <c r="C33" s="206"/>
      <c r="D33" s="206"/>
      <c r="E33" s="206"/>
      <c r="F33" s="206" t="s">
        <v>5862</v>
      </c>
      <c r="G33" s="206"/>
      <c r="H33" s="206"/>
      <c r="I33" s="206"/>
      <c r="J33" s="206"/>
      <c r="K33" s="206"/>
      <c r="L33" s="206"/>
      <c r="M33" s="206"/>
      <c r="N33" s="206"/>
      <c r="O33" s="206"/>
      <c r="P33" s="206"/>
      <c r="Q33" s="206" t="s">
        <v>5867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6304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5875</v>
      </c>
      <c r="B35" s="206"/>
      <c r="C35" s="206"/>
      <c r="D35" s="206"/>
      <c r="E35" s="206"/>
      <c r="F35" s="206" t="s">
        <v>5981</v>
      </c>
      <c r="G35" s="206"/>
      <c r="H35" s="206"/>
      <c r="I35" s="206"/>
      <c r="J35" s="206"/>
      <c r="K35" s="206"/>
      <c r="L35" s="206"/>
      <c r="M35" s="206"/>
      <c r="N35" s="206"/>
      <c r="O35" s="206"/>
      <c r="P35" s="206"/>
      <c r="Q35" s="206" t="s">
        <v>5985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6305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5875</v>
      </c>
      <c r="B37" s="206"/>
      <c r="C37" s="206"/>
      <c r="D37" s="206"/>
      <c r="E37" s="206"/>
      <c r="F37" s="206" t="s">
        <v>5875</v>
      </c>
      <c r="G37" s="206"/>
      <c r="H37" s="206"/>
      <c r="I37" s="206"/>
      <c r="J37" s="206"/>
      <c r="K37" s="206"/>
      <c r="L37" s="206"/>
      <c r="M37" s="206"/>
      <c r="N37" s="206"/>
      <c r="O37" s="206"/>
      <c r="P37" s="206"/>
      <c r="Q37" s="206" t="s">
        <v>6087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5875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5875</v>
      </c>
      <c r="B39" s="206"/>
      <c r="C39" s="206"/>
      <c r="D39" s="206"/>
      <c r="E39" s="206"/>
      <c r="F39" s="206" t="s">
        <v>5915</v>
      </c>
      <c r="G39" s="206"/>
      <c r="H39" s="206"/>
      <c r="I39" s="206"/>
      <c r="J39" s="206"/>
      <c r="K39" s="206"/>
      <c r="L39" s="206"/>
      <c r="M39" s="206"/>
      <c r="N39" s="206"/>
      <c r="O39" s="206"/>
      <c r="P39" s="206"/>
      <c r="Q39" s="206" t="s">
        <v>5919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6306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5875</v>
      </c>
      <c r="B41" s="206"/>
      <c r="C41" s="206"/>
      <c r="D41" s="206"/>
      <c r="E41" s="206"/>
      <c r="F41" s="206" t="s">
        <v>5974</v>
      </c>
      <c r="G41" s="206"/>
      <c r="H41" s="206"/>
      <c r="I41" s="206"/>
      <c r="J41" s="206"/>
      <c r="K41" s="206"/>
      <c r="L41" s="206"/>
      <c r="M41" s="206"/>
      <c r="N41" s="206"/>
      <c r="O41" s="206"/>
      <c r="P41" s="206"/>
      <c r="Q41" s="206" t="s">
        <v>5978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6307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5875</v>
      </c>
      <c r="B43" s="206"/>
      <c r="C43" s="206"/>
      <c r="D43" s="206"/>
      <c r="E43" s="206"/>
      <c r="F43" s="206" t="s">
        <v>5892</v>
      </c>
      <c r="G43" s="206"/>
      <c r="H43" s="206"/>
      <c r="I43" s="206"/>
      <c r="J43" s="206"/>
      <c r="K43" s="206"/>
      <c r="L43" s="206"/>
      <c r="M43" s="206"/>
      <c r="N43" s="206"/>
      <c r="O43" s="206"/>
      <c r="P43" s="206"/>
      <c r="Q43" s="206" t="s">
        <v>5896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6308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5875</v>
      </c>
      <c r="B45" s="206"/>
      <c r="C45" s="206"/>
      <c r="D45" s="206"/>
      <c r="E45" s="206"/>
      <c r="F45" s="206" t="s">
        <v>5869</v>
      </c>
      <c r="G45" s="206"/>
      <c r="H45" s="206"/>
      <c r="I45" s="206"/>
      <c r="J45" s="206"/>
      <c r="K45" s="206"/>
      <c r="L45" s="206"/>
      <c r="M45" s="206"/>
      <c r="N45" s="206"/>
      <c r="O45" s="206"/>
      <c r="P45" s="206"/>
      <c r="Q45" s="206" t="s">
        <v>5873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6309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5875</v>
      </c>
      <c r="B47" s="206"/>
      <c r="C47" s="206"/>
      <c r="D47" s="206"/>
      <c r="E47" s="206"/>
      <c r="F47" s="206" t="s">
        <v>6310</v>
      </c>
      <c r="G47" s="206"/>
      <c r="H47" s="206"/>
      <c r="I47" s="206"/>
      <c r="J47" s="206"/>
      <c r="K47" s="206"/>
      <c r="L47" s="206"/>
      <c r="M47" s="206"/>
      <c r="N47" s="206"/>
      <c r="O47" s="206"/>
      <c r="P47" s="206"/>
      <c r="Q47" s="206" t="s">
        <v>5948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6311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5875</v>
      </c>
      <c r="B49" s="206"/>
      <c r="C49" s="206"/>
      <c r="D49" s="206"/>
      <c r="E49" s="206"/>
      <c r="F49" s="206" t="s">
        <v>5880</v>
      </c>
      <c r="G49" s="206"/>
      <c r="H49" s="206"/>
      <c r="I49" s="206"/>
      <c r="J49" s="206"/>
      <c r="K49" s="206"/>
      <c r="L49" s="206"/>
      <c r="M49" s="206"/>
      <c r="N49" s="206"/>
      <c r="O49" s="206"/>
      <c r="P49" s="206"/>
      <c r="Q49" s="206" t="s">
        <v>5884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6312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5875</v>
      </c>
      <c r="B51" s="206"/>
      <c r="C51" s="206"/>
      <c r="D51" s="206"/>
      <c r="E51" s="206"/>
      <c r="F51" s="206" t="s">
        <v>5875</v>
      </c>
      <c r="G51" s="206"/>
      <c r="H51" s="206"/>
      <c r="I51" s="206"/>
      <c r="J51" s="206"/>
      <c r="K51" s="206"/>
      <c r="L51" s="206"/>
      <c r="M51" s="206"/>
      <c r="N51" s="206"/>
      <c r="O51" s="206"/>
      <c r="P51" s="206"/>
      <c r="Q51" s="206" t="s">
        <v>6129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5875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6205</v>
      </c>
      <c r="B53" s="206"/>
      <c r="C53" s="206"/>
      <c r="D53" s="206"/>
      <c r="E53" s="206"/>
      <c r="F53" s="206" t="s">
        <v>5875</v>
      </c>
      <c r="G53" s="206"/>
      <c r="H53" s="206"/>
      <c r="I53" s="206"/>
      <c r="J53" s="206"/>
      <c r="K53" s="206"/>
      <c r="L53" s="206"/>
      <c r="M53" s="206"/>
      <c r="N53" s="206"/>
      <c r="O53" s="206"/>
      <c r="P53" s="206"/>
      <c r="Q53" s="206" t="s">
        <v>6210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6313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6205</v>
      </c>
      <c r="B55" s="206"/>
      <c r="C55" s="206"/>
      <c r="D55" s="206"/>
      <c r="E55" s="206"/>
      <c r="F55" s="206" t="s">
        <v>6314</v>
      </c>
      <c r="G55" s="206"/>
      <c r="H55" s="206"/>
      <c r="I55" s="206"/>
      <c r="J55" s="206"/>
      <c r="K55" s="206"/>
      <c r="L55" s="206"/>
      <c r="M55" s="206"/>
      <c r="N55" s="206"/>
      <c r="O55" s="206"/>
      <c r="P55" s="206"/>
      <c r="Q55" s="206" t="s">
        <v>4897</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6315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6316</v>
      </c>
      <c r="B59" s="206"/>
      <c r="C59" s="206" t="s">
        <v>6317</v>
      </c>
      <c r="D59" s="206"/>
      <c r="E59" s="206"/>
      <c r="F59" s="206" t="s">
        <v>6318</v>
      </c>
      <c r="G59" s="206"/>
      <c r="H59" s="206"/>
      <c r="I59" s="206"/>
      <c r="J59" s="206"/>
      <c r="K59" s="206"/>
      <c r="L59" s="206" t="s">
        <v>6319</v>
      </c>
      <c r="M59" s="206"/>
      <c r="N59" s="206"/>
      <c r="O59" s="206"/>
      <c r="P59" s="206"/>
      <c r="Q59" s="206"/>
      <c r="R59" s="206" t="s">
        <v>6200</v>
      </c>
      <c r="S59" s="206"/>
      <c r="T59" s="206"/>
      <c r="U59" s="206" t="s">
        <v>5859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6320</v>
      </c>
      <c r="B60" s="206"/>
      <c r="C60" s="206"/>
      <c r="D60" s="206" t="s">
        <v>6321</v>
      </c>
      <c r="E60" s="206"/>
      <c r="F60" s="206"/>
      <c r="G60" s="206"/>
      <c r="H60" s="206"/>
      <c r="I60" s="206" t="s">
        <v>6322</v>
      </c>
      <c r="J60" s="206"/>
      <c r="K60" s="206"/>
      <c r="L60" s="206"/>
      <c r="M60" s="206"/>
      <c r="N60" s="206"/>
      <c r="O60" s="206"/>
      <c r="P60" s="206"/>
      <c r="Q60" s="206" t="s">
        <v>6323</v>
      </c>
      <c r="R60" s="206"/>
      <c r="S60" s="206"/>
      <c r="T60" s="206"/>
      <c r="U60" s="206" t="s">
        <v>6175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6324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6325</v>
      </c>
      <c r="B62" s="206"/>
      <c r="C62" s="206"/>
      <c r="D62" s="206" t="s">
        <v>6326</v>
      </c>
      <c r="E62" s="206"/>
      <c r="F62" s="206"/>
      <c r="G62" s="206"/>
      <c r="H62" s="206"/>
      <c r="I62" s="206" t="s">
        <v>6327</v>
      </c>
      <c r="J62" s="206"/>
      <c r="K62" s="206"/>
      <c r="L62" s="206"/>
      <c r="M62" s="206"/>
      <c r="N62" s="206"/>
      <c r="O62" s="206"/>
      <c r="P62" s="206"/>
      <c r="Q62" s="206" t="s">
        <v>6328</v>
      </c>
      <c r="R62" s="206"/>
      <c r="S62" s="206"/>
      <c r="T62" s="206"/>
      <c r="U62" s="206" t="s">
        <v>5948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6329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5875</v>
      </c>
      <c r="B64" s="206"/>
      <c r="C64" s="206"/>
      <c r="D64" s="206" t="s">
        <v>5875</v>
      </c>
      <c r="E64" s="206"/>
      <c r="F64" s="206"/>
      <c r="G64" s="206"/>
      <c r="H64" s="206"/>
      <c r="I64" s="206" t="s">
        <v>5875</v>
      </c>
      <c r="J64" s="206"/>
      <c r="K64" s="206"/>
      <c r="L64" s="206"/>
      <c r="M64" s="206"/>
      <c r="N64" s="206"/>
      <c r="O64" s="206"/>
      <c r="P64" s="206"/>
      <c r="Q64" s="206" t="s">
        <v>5875</v>
      </c>
      <c r="R64" s="206"/>
      <c r="S64" s="206"/>
      <c r="T64" s="206"/>
      <c r="U64" s="206" t="s">
        <v>5978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5875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6330</v>
      </c>
      <c r="B66" s="206"/>
      <c r="C66" s="206"/>
      <c r="D66" s="206" t="s">
        <v>6331</v>
      </c>
      <c r="E66" s="206"/>
      <c r="F66" s="206"/>
      <c r="G66" s="206"/>
      <c r="H66" s="206"/>
      <c r="I66" s="206"/>
      <c r="J66" s="206"/>
      <c r="K66" s="206" t="s">
        <v>6332</v>
      </c>
      <c r="L66" s="206"/>
      <c r="M66" s="206"/>
      <c r="N66" s="206"/>
      <c r="O66" s="206"/>
      <c r="P66" s="206"/>
      <c r="Q66" s="206" t="s">
        <v>4897</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6333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6334</v>
      </c>
      <c r="E70" s="206"/>
      <c r="F70" s="206"/>
      <c r="G70" s="206"/>
      <c r="H70" s="206"/>
      <c r="I70" s="206" t="s">
        <v>6335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5856</v>
      </c>
      <c r="M71" s="206"/>
      <c r="N71" s="206"/>
      <c r="O71" s="206"/>
      <c r="P71" s="206" t="s">
        <v>6336</v>
      </c>
      <c r="Q71" s="206" t="s">
        <v>6337</v>
      </c>
      <c r="R71" s="206"/>
      <c r="S71" s="206" t="s">
        <v>6338</v>
      </c>
      <c r="T71" s="206"/>
      <c r="U71" s="206" t="s">
        <v>6339</v>
      </c>
      <c r="V71" s="206"/>
      <c r="W71" s="206"/>
      <c r="X71" s="206" t="s">
        <v>6340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5859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6341</v>
      </c>
      <c r="B74" s="206" t="s">
        <v>6342</v>
      </c>
      <c r="C74" s="206" t="s">
        <v>6343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5875</v>
      </c>
      <c r="C77" s="206" t="s">
        <v>6344</v>
      </c>
      <c r="D77" s="206"/>
      <c r="E77" s="206"/>
      <c r="F77" s="206" t="s">
        <v>6345</v>
      </c>
      <c r="G77" s="206"/>
      <c r="H77" s="206"/>
      <c r="I77" s="206"/>
      <c r="J77" s="206" t="s">
        <v>6346</v>
      </c>
      <c r="K77" s="206"/>
      <c r="L77" s="206"/>
      <c r="M77" s="206"/>
      <c r="N77" s="206"/>
      <c r="O77" s="206" t="s">
        <v>6183</v>
      </c>
      <c r="P77" s="206"/>
      <c r="Q77" s="206" t="s">
        <v>5865</v>
      </c>
      <c r="R77" s="206"/>
      <c r="S77" s="206" t="s">
        <v>6044</v>
      </c>
      <c r="T77" s="206"/>
      <c r="U77" s="206" t="s">
        <v>6043</v>
      </c>
      <c r="V77" s="206"/>
      <c r="W77" s="206"/>
      <c r="X77" s="206" t="s">
        <v>6347</v>
      </c>
      <c r="Y77" s="206"/>
      <c r="Z77" s="206" t="s">
        <v>6348</v>
      </c>
      <c r="AA77" s="206"/>
      <c r="AB77" s="206"/>
      <c r="AC77" s="206" t="s">
        <v>6045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5875</v>
      </c>
      <c r="C81" s="206" t="s">
        <v>6349</v>
      </c>
      <c r="D81" s="206"/>
      <c r="E81" s="206"/>
      <c r="F81" s="206" t="s">
        <v>6350</v>
      </c>
      <c r="G81" s="206"/>
      <c r="H81" s="206"/>
      <c r="I81" s="206"/>
      <c r="J81" s="206" t="s">
        <v>6351</v>
      </c>
      <c r="K81" s="206"/>
      <c r="L81" s="206"/>
      <c r="M81" s="206"/>
      <c r="N81" s="206"/>
      <c r="O81" s="206" t="s">
        <v>6352</v>
      </c>
      <c r="P81" s="206"/>
      <c r="Q81" s="206" t="s">
        <v>5865</v>
      </c>
      <c r="R81" s="206"/>
      <c r="S81" s="206" t="s">
        <v>5998</v>
      </c>
      <c r="T81" s="206"/>
      <c r="U81" s="206" t="s">
        <v>5997</v>
      </c>
      <c r="V81" s="206"/>
      <c r="W81" s="206"/>
      <c r="X81" s="206" t="s">
        <v>6353</v>
      </c>
      <c r="Y81" s="206"/>
      <c r="Z81" s="206" t="s">
        <v>6348</v>
      </c>
      <c r="AA81" s="206"/>
      <c r="AB81" s="206"/>
      <c r="AC81" s="206" t="s">
        <v>5999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5875</v>
      </c>
      <c r="C84" s="206" t="s">
        <v>6354</v>
      </c>
      <c r="D84" s="206"/>
      <c r="E84" s="206"/>
      <c r="F84" s="206" t="s">
        <v>6355</v>
      </c>
      <c r="G84" s="206"/>
      <c r="H84" s="206"/>
      <c r="I84" s="206"/>
      <c r="J84" s="206" t="s">
        <v>6356</v>
      </c>
      <c r="K84" s="206"/>
      <c r="L84" s="206"/>
      <c r="M84" s="206"/>
      <c r="N84" s="206"/>
      <c r="O84" s="206" t="s">
        <v>6183</v>
      </c>
      <c r="P84" s="206"/>
      <c r="Q84" s="206" t="s">
        <v>5865</v>
      </c>
      <c r="R84" s="206"/>
      <c r="S84" s="206" t="s">
        <v>5866</v>
      </c>
      <c r="T84" s="206"/>
      <c r="U84" s="206" t="s">
        <v>6357</v>
      </c>
      <c r="V84" s="206"/>
      <c r="W84" s="206"/>
      <c r="X84" s="206" t="s">
        <v>6358</v>
      </c>
      <c r="Y84" s="206"/>
      <c r="Z84" s="206" t="s">
        <v>6348</v>
      </c>
      <c r="AA84" s="206"/>
      <c r="AB84" s="206"/>
      <c r="AC84" s="206" t="s">
        <v>5867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5875</v>
      </c>
      <c r="C87" s="206" t="s">
        <v>6359</v>
      </c>
      <c r="D87" s="206"/>
      <c r="E87" s="206"/>
      <c r="F87" s="206" t="s">
        <v>6360</v>
      </c>
      <c r="G87" s="206"/>
      <c r="H87" s="206"/>
      <c r="I87" s="206"/>
      <c r="J87" s="206" t="s">
        <v>6361</v>
      </c>
      <c r="K87" s="206"/>
      <c r="L87" s="206"/>
      <c r="M87" s="206"/>
      <c r="N87" s="206"/>
      <c r="O87" s="206" t="s">
        <v>6362</v>
      </c>
      <c r="P87" s="206"/>
      <c r="Q87" s="206" t="s">
        <v>5865</v>
      </c>
      <c r="R87" s="206"/>
      <c r="S87" s="206" t="s">
        <v>6215</v>
      </c>
      <c r="T87" s="206"/>
      <c r="U87" s="206" t="s">
        <v>6214</v>
      </c>
      <c r="V87" s="206"/>
      <c r="W87" s="206"/>
      <c r="X87" s="206" t="s">
        <v>6347</v>
      </c>
      <c r="Y87" s="206"/>
      <c r="Z87" s="206" t="s">
        <v>6348</v>
      </c>
      <c r="AA87" s="206"/>
      <c r="AB87" s="206"/>
      <c r="AC87" s="206" t="s">
        <v>6216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5875</v>
      </c>
      <c r="C90" s="206" t="s">
        <v>6363</v>
      </c>
      <c r="D90" s="206"/>
      <c r="E90" s="206"/>
      <c r="F90" s="206" t="s">
        <v>6364</v>
      </c>
      <c r="G90" s="206"/>
      <c r="H90" s="206"/>
      <c r="I90" s="206"/>
      <c r="J90" s="206" t="s">
        <v>6365</v>
      </c>
      <c r="K90" s="206"/>
      <c r="L90" s="206"/>
      <c r="M90" s="206"/>
      <c r="N90" s="206"/>
      <c r="O90" s="206" t="s">
        <v>6366</v>
      </c>
      <c r="P90" s="206"/>
      <c r="Q90" s="206" t="s">
        <v>5875</v>
      </c>
      <c r="R90" s="206"/>
      <c r="S90" s="206" t="s">
        <v>6367</v>
      </c>
      <c r="T90" s="206"/>
      <c r="U90" s="206" t="s">
        <v>6368</v>
      </c>
      <c r="V90" s="206"/>
      <c r="W90" s="206"/>
      <c r="X90" s="206" t="s">
        <v>4897</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6369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6370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6371</v>
      </c>
      <c r="R98" s="206"/>
      <c r="S98" s="206"/>
      <c r="T98" s="206"/>
      <c r="U98" s="206" t="s">
        <v>6372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6343</v>
      </c>
      <c r="S101" s="206"/>
      <c r="T101" s="206"/>
      <c r="U101" s="206" t="s">
        <v>6373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6343</v>
      </c>
      <c r="R106" s="206"/>
      <c r="S106" s="206"/>
      <c r="T106" s="206"/>
      <c r="U106" s="206" t="s">
        <v>6374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5367</v>
      </c>
      <c r="F2" s="67" t="s">
        <v>1218</v>
      </c>
      <c r="G2" s="67" t="s">
        <v>924</v>
      </c>
      <c r="H2" s="67" t="s">
        <v>5384</v>
      </c>
    </row>
    <row r="3" spans="1:8">
      <c r="A3" s="97"/>
      <c r="B3" s="97" t="s">
        <v>4358</v>
      </c>
      <c r="C3" s="97">
        <v>874</v>
      </c>
      <c r="D3" s="115">
        <v>6337102</v>
      </c>
      <c r="E3" s="115">
        <f>D3/C3</f>
        <v>7250.6887871853551</v>
      </c>
      <c r="F3" s="115">
        <f>E3*1.01</f>
        <v>7323.195675057209</v>
      </c>
      <c r="G3" s="97">
        <f>'برنامه 5 ساله'!P50</f>
        <v>27800</v>
      </c>
      <c r="H3" s="115">
        <f>C3*G3</f>
        <v>24297200</v>
      </c>
    </row>
    <row r="4" spans="1:8">
      <c r="A4" s="97"/>
      <c r="B4" s="97" t="s">
        <v>4216</v>
      </c>
      <c r="C4" s="97">
        <v>295000</v>
      </c>
      <c r="D4" s="115">
        <v>148594302</v>
      </c>
      <c r="E4" s="115">
        <f>D4/C4</f>
        <v>503.70949830508476</v>
      </c>
      <c r="F4" s="115">
        <f>E4*1.01</f>
        <v>508.74659328813561</v>
      </c>
      <c r="G4" s="97">
        <f>'برنامه 5 ساله'!P36</f>
        <v>1438</v>
      </c>
      <c r="H4" s="115">
        <f>C4*G4</f>
        <v>424210000</v>
      </c>
    </row>
    <row r="5" spans="1:8">
      <c r="A5" s="97"/>
      <c r="B5" s="97" t="s">
        <v>4371</v>
      </c>
      <c r="C5" s="97">
        <v>2850</v>
      </c>
      <c r="D5" s="115">
        <v>4015726</v>
      </c>
      <c r="E5" s="115">
        <f>D5/C5</f>
        <v>1409.0266666666666</v>
      </c>
      <c r="F5" s="115">
        <f>E5*1.01</f>
        <v>1423.1169333333332</v>
      </c>
      <c r="G5" s="97">
        <v>2600</v>
      </c>
      <c r="H5" s="115">
        <f>C5*G5</f>
        <v>7410000</v>
      </c>
    </row>
    <row r="6" spans="1:8">
      <c r="A6" s="97" t="s">
        <v>5366</v>
      </c>
      <c r="B6" s="97" t="s">
        <v>5276</v>
      </c>
      <c r="C6" s="97">
        <v>0</v>
      </c>
      <c r="D6" s="115">
        <v>683292</v>
      </c>
      <c r="E6" s="115"/>
      <c r="F6" s="115"/>
      <c r="G6" s="97">
        <v>870</v>
      </c>
      <c r="H6" s="115">
        <f>D6</f>
        <v>683292</v>
      </c>
    </row>
    <row r="7" spans="1:8">
      <c r="A7" s="97" t="s">
        <v>5366</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456871461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5384</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1438</v>
      </c>
      <c r="H19" s="115">
        <f>C19*G19</f>
        <v>18601968</v>
      </c>
    </row>
    <row r="20" spans="1:8">
      <c r="A20" s="97"/>
      <c r="B20" s="97" t="s">
        <v>5276</v>
      </c>
      <c r="C20" s="97">
        <v>4687</v>
      </c>
      <c r="D20" s="115">
        <v>1911597</v>
      </c>
      <c r="E20" s="115">
        <f>D20/C20</f>
        <v>407.85086409216984</v>
      </c>
      <c r="F20" s="115">
        <f>E20*1.01</f>
        <v>411.92937273309155</v>
      </c>
      <c r="G20" s="97">
        <f>G6</f>
        <v>870</v>
      </c>
      <c r="H20" s="115">
        <f>C20*G20</f>
        <v>4077690</v>
      </c>
    </row>
    <row r="21" spans="1:8">
      <c r="A21" s="97" t="s">
        <v>5366</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325116296</v>
      </c>
    </row>
    <row r="26" spans="1:8">
      <c r="D26" t="s">
        <v>5385</v>
      </c>
      <c r="E26" s="112">
        <f>'خرید خانه'!H10+'خرید خانه'!H23-'خرید خانه'!D10-'خرید خانه'!D23</f>
        <v>480287757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4822</v>
      </c>
      <c r="B274" s="111">
        <v>3500000</v>
      </c>
      <c r="C274" s="97">
        <v>0</v>
      </c>
      <c r="D274" s="97">
        <f t="shared" si="8"/>
        <v>428</v>
      </c>
      <c r="E274" s="97">
        <f t="shared" si="10"/>
        <v>0</v>
      </c>
      <c r="F274" s="97">
        <f t="shared" si="9"/>
        <v>1498000000</v>
      </c>
      <c r="G274" s="97"/>
    </row>
    <row r="275" spans="1:11">
      <c r="A275" s="97" t="s">
        <v>4822</v>
      </c>
      <c r="B275" s="111">
        <v>-224012</v>
      </c>
      <c r="C275" s="97">
        <v>2</v>
      </c>
      <c r="D275" s="97">
        <f t="shared" si="8"/>
        <v>428</v>
      </c>
      <c r="E275" s="97">
        <f t="shared" si="10"/>
        <v>0</v>
      </c>
      <c r="F275" s="97">
        <f t="shared" si="9"/>
        <v>-95877136</v>
      </c>
      <c r="G275" s="97"/>
    </row>
    <row r="276" spans="1:11">
      <c r="A276" s="97" t="s">
        <v>4835</v>
      </c>
      <c r="B276" s="111">
        <v>-104671</v>
      </c>
      <c r="C276" s="97">
        <v>1</v>
      </c>
      <c r="D276" s="97">
        <f>D277+C276</f>
        <v>426</v>
      </c>
      <c r="E276" s="97">
        <f>IF(B277&gt;0,1,0)</f>
        <v>0</v>
      </c>
      <c r="F276" s="97">
        <f t="shared" si="9"/>
        <v>-44589846</v>
      </c>
      <c r="G276" s="97"/>
    </row>
    <row r="277" spans="1:11">
      <c r="A277" s="97" t="s">
        <v>4836</v>
      </c>
      <c r="B277" s="111">
        <v>-272000</v>
      </c>
      <c r="C277" s="97">
        <v>1</v>
      </c>
      <c r="D277" s="97">
        <f>D278+C277</f>
        <v>425</v>
      </c>
      <c r="E277" s="97">
        <f>IF(B278&gt;0,1,0)</f>
        <v>0</v>
      </c>
      <c r="F277" s="97">
        <f t="shared" si="9"/>
        <v>-115600000</v>
      </c>
      <c r="G277" s="97"/>
    </row>
    <row r="278" spans="1:11">
      <c r="A278" s="97" t="s">
        <v>4838</v>
      </c>
      <c r="B278" s="111">
        <v>-2565078</v>
      </c>
      <c r="C278" s="97">
        <v>2</v>
      </c>
      <c r="D278" s="97">
        <f>D279+C278</f>
        <v>424</v>
      </c>
      <c r="E278" s="97">
        <f>IF(B279&gt;0,1,0)</f>
        <v>0</v>
      </c>
      <c r="F278" s="97">
        <f t="shared" si="9"/>
        <v>-1087593072</v>
      </c>
      <c r="G278" s="97"/>
    </row>
    <row r="279" spans="1:11">
      <c r="A279" s="97" t="s">
        <v>4794</v>
      </c>
      <c r="B279" s="111">
        <v>-213500</v>
      </c>
      <c r="C279" s="97">
        <v>1</v>
      </c>
      <c r="D279" s="97">
        <f>D280+C279</f>
        <v>422</v>
      </c>
      <c r="E279" s="97">
        <f>IF(B280&gt;0,1,0)</f>
        <v>0</v>
      </c>
      <c r="F279" s="97">
        <f t="shared" si="9"/>
        <v>-90097000</v>
      </c>
      <c r="G279" s="97"/>
    </row>
    <row r="280" spans="1:11">
      <c r="A280" s="97" t="s">
        <v>4854</v>
      </c>
      <c r="B280" s="111">
        <v>-3810</v>
      </c>
      <c r="C280" s="97">
        <v>1</v>
      </c>
      <c r="D280" s="97">
        <f>D281+C280</f>
        <v>421</v>
      </c>
      <c r="E280" s="97">
        <f>IF(B281&gt;0,1,0)</f>
        <v>0</v>
      </c>
      <c r="F280" s="97">
        <f t="shared" si="9"/>
        <v>-1604010</v>
      </c>
      <c r="G280" s="97"/>
      <c r="J280" t="s">
        <v>25</v>
      </c>
    </row>
    <row r="281" spans="1:11">
      <c r="A281" s="97" t="s">
        <v>4855</v>
      </c>
      <c r="B281" s="111">
        <v>-120632</v>
      </c>
      <c r="C281" s="97">
        <v>1</v>
      </c>
      <c r="D281" s="97">
        <f t="shared" ref="D281:D288" si="11">D282+C281</f>
        <v>420</v>
      </c>
      <c r="E281" s="97">
        <f t="shared" ref="E281:E288" si="12">IF(B282&gt;0,1,0)</f>
        <v>1</v>
      </c>
      <c r="F281" s="97">
        <f t="shared" si="9"/>
        <v>-50544808</v>
      </c>
      <c r="G281" s="97"/>
      <c r="J281" t="s">
        <v>25</v>
      </c>
    </row>
    <row r="282" spans="1:11">
      <c r="A282" s="97" t="s">
        <v>4844</v>
      </c>
      <c r="B282" s="111">
        <v>80000</v>
      </c>
      <c r="C282" s="97">
        <v>0</v>
      </c>
      <c r="D282" s="97">
        <f t="shared" si="11"/>
        <v>419</v>
      </c>
      <c r="E282" s="97">
        <f t="shared" si="12"/>
        <v>0</v>
      </c>
      <c r="F282" s="97">
        <f t="shared" si="9"/>
        <v>33520000</v>
      </c>
      <c r="G282" s="97"/>
    </row>
    <row r="283" spans="1:11">
      <c r="A283" s="97" t="s">
        <v>4844</v>
      </c>
      <c r="B283" s="111">
        <v>-2500</v>
      </c>
      <c r="C283" s="97">
        <v>1</v>
      </c>
      <c r="D283" s="97">
        <f t="shared" si="11"/>
        <v>419</v>
      </c>
      <c r="E283" s="97">
        <f t="shared" si="12"/>
        <v>0</v>
      </c>
      <c r="F283" s="97">
        <f t="shared" si="9"/>
        <v>-1047500</v>
      </c>
      <c r="G283" s="97"/>
      <c r="J283" s="112">
        <f>B422-498804</f>
        <v>4142795</v>
      </c>
    </row>
    <row r="284" spans="1:11">
      <c r="A284" s="97" t="s">
        <v>4848</v>
      </c>
      <c r="B284" s="111">
        <v>-30000</v>
      </c>
      <c r="C284" s="97">
        <v>1</v>
      </c>
      <c r="D284" s="97">
        <f t="shared" si="11"/>
        <v>418</v>
      </c>
      <c r="E284" s="97">
        <f t="shared" si="12"/>
        <v>0</v>
      </c>
      <c r="F284" s="97">
        <f t="shared" si="9"/>
        <v>-12540000</v>
      </c>
      <c r="G284" s="97"/>
    </row>
    <row r="285" spans="1:11">
      <c r="A285" s="97" t="s">
        <v>4856</v>
      </c>
      <c r="B285" s="111">
        <v>-19800</v>
      </c>
      <c r="C285" s="97">
        <v>1</v>
      </c>
      <c r="D285" s="97">
        <f t="shared" si="11"/>
        <v>417</v>
      </c>
      <c r="E285" s="97">
        <f t="shared" si="12"/>
        <v>1</v>
      </c>
      <c r="F285" s="97">
        <f t="shared" si="9"/>
        <v>-8236800</v>
      </c>
      <c r="G285" s="97"/>
      <c r="K285" t="s">
        <v>25</v>
      </c>
    </row>
    <row r="286" spans="1:11">
      <c r="A286" s="97" t="s">
        <v>4847</v>
      </c>
      <c r="B286" s="111">
        <v>940000</v>
      </c>
      <c r="C286" s="97">
        <v>0</v>
      </c>
      <c r="D286" s="97">
        <f t="shared" si="11"/>
        <v>416</v>
      </c>
      <c r="E286" s="97">
        <f t="shared" si="12"/>
        <v>0</v>
      </c>
      <c r="F286" s="97">
        <f t="shared" si="9"/>
        <v>391040000</v>
      </c>
      <c r="G286" s="97"/>
    </row>
    <row r="287" spans="1:11">
      <c r="A287" s="97" t="s">
        <v>4847</v>
      </c>
      <c r="B287" s="111">
        <v>-201000</v>
      </c>
      <c r="C287" s="97">
        <v>1</v>
      </c>
      <c r="D287" s="97">
        <f t="shared" si="11"/>
        <v>416</v>
      </c>
      <c r="E287" s="97">
        <f t="shared" si="12"/>
        <v>0</v>
      </c>
      <c r="F287" s="97">
        <f t="shared" si="9"/>
        <v>-83616000</v>
      </c>
      <c r="G287" s="97"/>
    </row>
    <row r="288" spans="1:11">
      <c r="A288" s="97" t="s">
        <v>4852</v>
      </c>
      <c r="B288" s="111">
        <v>-320930</v>
      </c>
      <c r="C288" s="97">
        <v>3</v>
      </c>
      <c r="D288" s="97">
        <f t="shared" si="11"/>
        <v>415</v>
      </c>
      <c r="E288" s="97">
        <f t="shared" si="12"/>
        <v>0</v>
      </c>
      <c r="F288" s="97">
        <f t="shared" si="9"/>
        <v>-133185950</v>
      </c>
      <c r="G288" s="97"/>
    </row>
    <row r="289" spans="1:10">
      <c r="A289" s="97" t="s">
        <v>4853</v>
      </c>
      <c r="B289" s="111">
        <v>-400000</v>
      </c>
      <c r="C289" s="97">
        <v>1</v>
      </c>
      <c r="D289" s="97">
        <f t="shared" ref="D289:D306" si="13">D290+C289</f>
        <v>412</v>
      </c>
      <c r="E289" s="97">
        <f t="shared" ref="E289:E306" si="14">IF(B290&gt;0,1,0)</f>
        <v>0</v>
      </c>
      <c r="F289" s="97">
        <f t="shared" si="9"/>
        <v>-164800000</v>
      </c>
      <c r="G289" s="97"/>
    </row>
    <row r="290" spans="1:10">
      <c r="A290" s="97" t="s">
        <v>4858</v>
      </c>
      <c r="B290" s="111">
        <v>-16500</v>
      </c>
      <c r="C290" s="97">
        <v>11</v>
      </c>
      <c r="D290" s="97">
        <f t="shared" si="13"/>
        <v>411</v>
      </c>
      <c r="E290" s="97">
        <f t="shared" si="14"/>
        <v>1</v>
      </c>
      <c r="F290" s="97">
        <f t="shared" si="9"/>
        <v>-6765000</v>
      </c>
      <c r="G290" s="97"/>
    </row>
    <row r="291" spans="1:10">
      <c r="A291" s="97" t="s">
        <v>4874</v>
      </c>
      <c r="B291" s="111">
        <v>2600000</v>
      </c>
      <c r="C291" s="97">
        <v>2</v>
      </c>
      <c r="D291" s="97">
        <f t="shared" si="13"/>
        <v>400</v>
      </c>
      <c r="E291" s="97">
        <f t="shared" si="14"/>
        <v>0</v>
      </c>
      <c r="F291" s="97">
        <f t="shared" si="9"/>
        <v>1040000000</v>
      </c>
      <c r="G291" s="97"/>
      <c r="I291" t="s">
        <v>25</v>
      </c>
    </row>
    <row r="292" spans="1:10">
      <c r="A292" s="97" t="s">
        <v>4875</v>
      </c>
      <c r="B292" s="111">
        <v>-1170000</v>
      </c>
      <c r="C292" s="97">
        <v>0</v>
      </c>
      <c r="D292" s="97">
        <f t="shared" si="13"/>
        <v>398</v>
      </c>
      <c r="E292" s="97">
        <f t="shared" si="14"/>
        <v>0</v>
      </c>
      <c r="F292" s="97">
        <f t="shared" si="9"/>
        <v>-465660000</v>
      </c>
      <c r="G292" s="97" t="s">
        <v>4876</v>
      </c>
      <c r="J292" t="s">
        <v>25</v>
      </c>
    </row>
    <row r="293" spans="1:10">
      <c r="A293" s="97" t="s">
        <v>4875</v>
      </c>
      <c r="B293" s="111">
        <v>-9000</v>
      </c>
      <c r="C293" s="97">
        <v>1</v>
      </c>
      <c r="D293" s="97">
        <f t="shared" si="13"/>
        <v>398</v>
      </c>
      <c r="E293" s="97">
        <f t="shared" si="14"/>
        <v>0</v>
      </c>
      <c r="F293" s="97">
        <f t="shared" si="9"/>
        <v>-3582000</v>
      </c>
      <c r="G293" s="97"/>
    </row>
    <row r="294" spans="1:10">
      <c r="A294" s="97" t="s">
        <v>4877</v>
      </c>
      <c r="B294" s="111">
        <v>-1145000</v>
      </c>
      <c r="C294" s="97">
        <v>0</v>
      </c>
      <c r="D294" s="97">
        <f t="shared" si="13"/>
        <v>397</v>
      </c>
      <c r="E294" s="97">
        <f t="shared" si="14"/>
        <v>0</v>
      </c>
      <c r="F294" s="97">
        <f t="shared" si="9"/>
        <v>-454565000</v>
      </c>
      <c r="G294" s="97" t="s">
        <v>4878</v>
      </c>
    </row>
    <row r="295" spans="1:10">
      <c r="A295" s="97" t="s">
        <v>4877</v>
      </c>
      <c r="B295" s="111">
        <v>-94549</v>
      </c>
      <c r="C295" s="97">
        <v>2</v>
      </c>
      <c r="D295" s="97">
        <f t="shared" si="13"/>
        <v>397</v>
      </c>
      <c r="E295" s="97">
        <f t="shared" si="14"/>
        <v>0</v>
      </c>
      <c r="F295" s="97">
        <f t="shared" si="9"/>
        <v>-37535953</v>
      </c>
      <c r="G295" s="97" t="s">
        <v>503</v>
      </c>
      <c r="J295" t="s">
        <v>25</v>
      </c>
    </row>
    <row r="296" spans="1:10">
      <c r="A296" s="97" t="s">
        <v>5024</v>
      </c>
      <c r="B296" s="111">
        <v>-3500</v>
      </c>
      <c r="C296" s="97">
        <v>1</v>
      </c>
      <c r="D296" s="97">
        <f t="shared" si="13"/>
        <v>395</v>
      </c>
      <c r="E296" s="97">
        <f t="shared" si="14"/>
        <v>0</v>
      </c>
      <c r="F296" s="97">
        <f t="shared" si="9"/>
        <v>-1382500</v>
      </c>
      <c r="G296" s="97"/>
      <c r="I296" s="112">
        <f>B422-735892</f>
        <v>3905707</v>
      </c>
    </row>
    <row r="297" spans="1:10">
      <c r="A297" s="97" t="s">
        <v>4885</v>
      </c>
      <c r="B297" s="111">
        <v>-44900</v>
      </c>
      <c r="C297" s="97">
        <v>0</v>
      </c>
      <c r="D297" s="97">
        <f t="shared" si="13"/>
        <v>394</v>
      </c>
      <c r="E297" s="97">
        <f t="shared" si="14"/>
        <v>0</v>
      </c>
      <c r="F297" s="97">
        <f t="shared" si="9"/>
        <v>-17690600</v>
      </c>
      <c r="G297" s="97"/>
    </row>
    <row r="298" spans="1:10">
      <c r="A298" s="97" t="s">
        <v>4885</v>
      </c>
      <c r="B298" s="111">
        <v>-50000</v>
      </c>
      <c r="C298" s="97">
        <v>10</v>
      </c>
      <c r="D298" s="97">
        <f t="shared" si="13"/>
        <v>394</v>
      </c>
      <c r="E298" s="97">
        <f t="shared" si="14"/>
        <v>0</v>
      </c>
      <c r="F298" s="97">
        <f t="shared" si="9"/>
        <v>-19700000</v>
      </c>
      <c r="G298" s="97" t="s">
        <v>503</v>
      </c>
    </row>
    <row r="299" spans="1:10">
      <c r="A299" s="97" t="s">
        <v>4900</v>
      </c>
      <c r="B299" s="111">
        <v>-19850</v>
      </c>
      <c r="C299" s="97">
        <v>1</v>
      </c>
      <c r="D299" s="97">
        <f t="shared" si="13"/>
        <v>384</v>
      </c>
      <c r="E299" s="97">
        <f t="shared" si="14"/>
        <v>0</v>
      </c>
      <c r="F299" s="97">
        <f t="shared" si="9"/>
        <v>-7622400</v>
      </c>
      <c r="G299" s="97"/>
    </row>
    <row r="300" spans="1:10">
      <c r="A300" s="97" t="s">
        <v>4901</v>
      </c>
      <c r="B300" s="111">
        <v>-39770</v>
      </c>
      <c r="C300" s="97">
        <v>6</v>
      </c>
      <c r="D300" s="97">
        <f t="shared" si="13"/>
        <v>383</v>
      </c>
      <c r="E300" s="97">
        <f t="shared" si="14"/>
        <v>0</v>
      </c>
      <c r="F300" s="97">
        <f t="shared" si="9"/>
        <v>-15231910</v>
      </c>
      <c r="G300" s="97"/>
    </row>
    <row r="301" spans="1:10">
      <c r="A301" s="97" t="s">
        <v>4915</v>
      </c>
      <c r="B301" s="111">
        <v>-40000</v>
      </c>
      <c r="C301" s="97">
        <v>71</v>
      </c>
      <c r="D301" s="97">
        <f t="shared" si="13"/>
        <v>377</v>
      </c>
      <c r="E301" s="97">
        <f t="shared" si="14"/>
        <v>1</v>
      </c>
      <c r="F301" s="97">
        <f t="shared" si="9"/>
        <v>-15040000</v>
      </c>
      <c r="G301" s="97"/>
    </row>
    <row r="302" spans="1:10">
      <c r="A302" s="97" t="s">
        <v>5013</v>
      </c>
      <c r="B302" s="111">
        <v>4000000</v>
      </c>
      <c r="C302" s="97">
        <v>1</v>
      </c>
      <c r="D302" s="97">
        <f t="shared" si="13"/>
        <v>306</v>
      </c>
      <c r="E302" s="97">
        <f t="shared" si="14"/>
        <v>0</v>
      </c>
      <c r="F302" s="97">
        <f t="shared" si="9"/>
        <v>1224000000</v>
      </c>
      <c r="G302" s="97"/>
    </row>
    <row r="303" spans="1:10">
      <c r="A303" s="97" t="s">
        <v>5017</v>
      </c>
      <c r="B303" s="111">
        <v>-123860</v>
      </c>
      <c r="C303" s="97">
        <v>1</v>
      </c>
      <c r="D303" s="97">
        <f t="shared" si="13"/>
        <v>305</v>
      </c>
      <c r="E303" s="97">
        <f t="shared" si="14"/>
        <v>0</v>
      </c>
      <c r="F303" s="97">
        <f t="shared" si="9"/>
        <v>-37777300</v>
      </c>
      <c r="G303" s="97"/>
    </row>
    <row r="304" spans="1:10">
      <c r="A304" s="97" t="s">
        <v>4984</v>
      </c>
      <c r="B304" s="111">
        <v>-1660000</v>
      </c>
      <c r="C304" s="97">
        <v>1</v>
      </c>
      <c r="D304" s="97">
        <f t="shared" si="13"/>
        <v>304</v>
      </c>
      <c r="E304" s="97">
        <f t="shared" si="14"/>
        <v>0</v>
      </c>
      <c r="F304" s="97">
        <f t="shared" si="9"/>
        <v>-504640000</v>
      </c>
      <c r="G304" s="97"/>
    </row>
    <row r="305" spans="1:11">
      <c r="A305" s="97" t="s">
        <v>5023</v>
      </c>
      <c r="B305" s="111">
        <v>-63857</v>
      </c>
      <c r="C305" s="97">
        <v>0</v>
      </c>
      <c r="D305" s="97">
        <f t="shared" si="13"/>
        <v>303</v>
      </c>
      <c r="E305" s="97">
        <f t="shared" si="14"/>
        <v>0</v>
      </c>
      <c r="F305" s="97">
        <f t="shared" si="9"/>
        <v>-19348671</v>
      </c>
      <c r="G305" s="97"/>
    </row>
    <row r="306" spans="1:11">
      <c r="A306" s="97" t="s">
        <v>5025</v>
      </c>
      <c r="B306" s="111">
        <v>-631</v>
      </c>
      <c r="C306" s="97">
        <v>2</v>
      </c>
      <c r="D306" s="97">
        <f t="shared" si="13"/>
        <v>303</v>
      </c>
      <c r="E306" s="97">
        <f t="shared" si="14"/>
        <v>0</v>
      </c>
      <c r="F306" s="97">
        <f t="shared" si="9"/>
        <v>-191193</v>
      </c>
      <c r="G306" s="97" t="s">
        <v>503</v>
      </c>
      <c r="J306" t="s">
        <v>25</v>
      </c>
    </row>
    <row r="307" spans="1:11">
      <c r="A307" s="97" t="s">
        <v>5029</v>
      </c>
      <c r="B307" s="111">
        <v>-248905</v>
      </c>
      <c r="C307" s="97">
        <v>2</v>
      </c>
      <c r="D307" s="97">
        <f t="shared" ref="D307:D318" si="15">D308+C307</f>
        <v>301</v>
      </c>
      <c r="E307" s="97">
        <f t="shared" ref="E307:E318" si="16">IF(B308&gt;0,1,0)</f>
        <v>0</v>
      </c>
      <c r="F307" s="97">
        <f t="shared" si="9"/>
        <v>-74920405</v>
      </c>
      <c r="G307" s="97"/>
    </row>
    <row r="308" spans="1:11">
      <c r="A308" s="97" t="s">
        <v>5027</v>
      </c>
      <c r="B308" s="111">
        <v>-200000</v>
      </c>
      <c r="C308" s="97">
        <v>0</v>
      </c>
      <c r="D308" s="97">
        <f t="shared" si="15"/>
        <v>299</v>
      </c>
      <c r="E308" s="97">
        <f t="shared" si="16"/>
        <v>0</v>
      </c>
      <c r="F308" s="97">
        <f t="shared" si="9"/>
        <v>-59800000</v>
      </c>
      <c r="G308" s="97"/>
    </row>
    <row r="309" spans="1:11">
      <c r="A309" s="97" t="s">
        <v>5027</v>
      </c>
      <c r="B309" s="111">
        <v>-200000</v>
      </c>
      <c r="C309" s="97">
        <v>3</v>
      </c>
      <c r="D309" s="97">
        <f t="shared" si="15"/>
        <v>299</v>
      </c>
      <c r="E309" s="97">
        <f t="shared" si="16"/>
        <v>0</v>
      </c>
      <c r="F309" s="97">
        <f t="shared" si="9"/>
        <v>-59800000</v>
      </c>
      <c r="G309" s="97"/>
    </row>
    <row r="310" spans="1:11">
      <c r="A310" s="97" t="s">
        <v>5034</v>
      </c>
      <c r="B310" s="111">
        <v>-832590</v>
      </c>
      <c r="C310" s="97">
        <v>0</v>
      </c>
      <c r="D310" s="97">
        <f t="shared" si="15"/>
        <v>296</v>
      </c>
      <c r="E310" s="97">
        <f t="shared" si="16"/>
        <v>0</v>
      </c>
      <c r="F310" s="97">
        <f t="shared" si="9"/>
        <v>-246446640</v>
      </c>
      <c r="G310" s="97"/>
    </row>
    <row r="311" spans="1:11">
      <c r="A311" s="97" t="s">
        <v>5034</v>
      </c>
      <c r="B311" s="111">
        <v>-29950</v>
      </c>
      <c r="C311" s="97">
        <v>1</v>
      </c>
      <c r="D311" s="97">
        <f t="shared" si="15"/>
        <v>296</v>
      </c>
      <c r="E311" s="97">
        <f t="shared" si="16"/>
        <v>0</v>
      </c>
      <c r="F311" s="97">
        <f t="shared" si="9"/>
        <v>-8865200</v>
      </c>
      <c r="G311" s="97"/>
      <c r="K311" t="s">
        <v>25</v>
      </c>
    </row>
    <row r="312" spans="1:11">
      <c r="A312" s="97" t="s">
        <v>5071</v>
      </c>
      <c r="B312" s="111">
        <v>-8500</v>
      </c>
      <c r="C312" s="97">
        <v>1</v>
      </c>
      <c r="D312" s="97">
        <f t="shared" si="15"/>
        <v>295</v>
      </c>
      <c r="E312" s="97">
        <f t="shared" si="16"/>
        <v>0</v>
      </c>
      <c r="F312" s="97">
        <f t="shared" si="9"/>
        <v>-2507500</v>
      </c>
      <c r="G312" s="97"/>
    </row>
    <row r="313" spans="1:11">
      <c r="A313" s="97" t="s">
        <v>5051</v>
      </c>
      <c r="B313" s="111">
        <v>-116300</v>
      </c>
      <c r="C313" s="97">
        <v>1</v>
      </c>
      <c r="D313" s="97">
        <f t="shared" si="15"/>
        <v>294</v>
      </c>
      <c r="E313" s="97">
        <f t="shared" si="16"/>
        <v>0</v>
      </c>
      <c r="F313" s="97">
        <f t="shared" si="9"/>
        <v>-34192200</v>
      </c>
      <c r="G313" s="97"/>
    </row>
    <row r="314" spans="1:11">
      <c r="A314" s="97" t="s">
        <v>5037</v>
      </c>
      <c r="B314" s="111">
        <v>-75500</v>
      </c>
      <c r="C314" s="97">
        <v>1</v>
      </c>
      <c r="D314" s="97">
        <f t="shared" si="15"/>
        <v>293</v>
      </c>
      <c r="E314" s="97">
        <f t="shared" si="16"/>
        <v>0</v>
      </c>
      <c r="F314" s="97">
        <f t="shared" ref="F314:F331" si="17">B314*(D314-E314)</f>
        <v>-22121500</v>
      </c>
      <c r="G314" s="97"/>
    </row>
    <row r="315" spans="1:11">
      <c r="A315" s="97" t="s">
        <v>5047</v>
      </c>
      <c r="B315" s="111">
        <v>-331250</v>
      </c>
      <c r="C315" s="97">
        <v>2</v>
      </c>
      <c r="D315" s="97">
        <f t="shared" si="15"/>
        <v>292</v>
      </c>
      <c r="E315" s="97">
        <f t="shared" si="16"/>
        <v>0</v>
      </c>
      <c r="F315" s="97">
        <f t="shared" si="17"/>
        <v>-96725000</v>
      </c>
      <c r="G315" s="97"/>
    </row>
    <row r="316" spans="1:11">
      <c r="A316" s="97" t="s">
        <v>5072</v>
      </c>
      <c r="B316" s="111">
        <v>-39000</v>
      </c>
      <c r="C316" s="97">
        <v>1</v>
      </c>
      <c r="D316" s="97">
        <f t="shared" si="15"/>
        <v>290</v>
      </c>
      <c r="E316" s="97">
        <f t="shared" si="16"/>
        <v>0</v>
      </c>
      <c r="F316" s="97">
        <f t="shared" si="17"/>
        <v>-11310000</v>
      </c>
      <c r="G316" s="97"/>
      <c r="I316" s="112"/>
    </row>
    <row r="317" spans="1:11">
      <c r="A317" s="97" t="s">
        <v>5049</v>
      </c>
      <c r="B317" s="111">
        <v>-44000</v>
      </c>
      <c r="C317" s="97">
        <v>3</v>
      </c>
      <c r="D317" s="97">
        <f t="shared" si="15"/>
        <v>289</v>
      </c>
      <c r="E317" s="97">
        <f t="shared" si="16"/>
        <v>0</v>
      </c>
      <c r="F317" s="97">
        <f t="shared" si="17"/>
        <v>-12716000</v>
      </c>
      <c r="G317" s="97"/>
      <c r="J317" t="s">
        <v>25</v>
      </c>
    </row>
    <row r="318" spans="1:11">
      <c r="A318" s="97" t="s">
        <v>4996</v>
      </c>
      <c r="B318" s="111">
        <v>-30476</v>
      </c>
      <c r="C318" s="97">
        <v>1</v>
      </c>
      <c r="D318" s="97">
        <f t="shared" si="15"/>
        <v>286</v>
      </c>
      <c r="E318" s="97">
        <f t="shared" si="16"/>
        <v>0</v>
      </c>
      <c r="F318" s="97">
        <f t="shared" si="17"/>
        <v>-8716136</v>
      </c>
      <c r="G318" s="97"/>
    </row>
    <row r="319" spans="1:11">
      <c r="A319" s="97" t="s">
        <v>5053</v>
      </c>
      <c r="B319" s="111">
        <v>-4000</v>
      </c>
      <c r="C319" s="97">
        <v>11</v>
      </c>
      <c r="D319" s="97">
        <f t="shared" ref="D319:D326" si="18">D320+C319</f>
        <v>285</v>
      </c>
      <c r="E319" s="97">
        <f t="shared" ref="E319:E326" si="19">IF(B320&gt;0,1,0)</f>
        <v>1</v>
      </c>
      <c r="F319" s="97">
        <f t="shared" si="17"/>
        <v>-1136000</v>
      </c>
      <c r="G319" s="97"/>
    </row>
    <row r="320" spans="1:11">
      <c r="A320" s="97" t="s">
        <v>5073</v>
      </c>
      <c r="B320" s="111">
        <v>6300000</v>
      </c>
      <c r="C320" s="97">
        <v>1</v>
      </c>
      <c r="D320" s="97">
        <f t="shared" si="18"/>
        <v>274</v>
      </c>
      <c r="E320" s="97">
        <f t="shared" si="19"/>
        <v>0</v>
      </c>
      <c r="F320" s="97">
        <f t="shared" si="17"/>
        <v>1726200000</v>
      </c>
      <c r="G320" s="97"/>
    </row>
    <row r="321" spans="1:9">
      <c r="A321" s="97" t="s">
        <v>5095</v>
      </c>
      <c r="B321" s="111">
        <v>-6000000</v>
      </c>
      <c r="C321" s="97">
        <v>2</v>
      </c>
      <c r="D321" s="97">
        <f t="shared" si="18"/>
        <v>273</v>
      </c>
      <c r="E321" s="97">
        <f t="shared" si="19"/>
        <v>0</v>
      </c>
      <c r="F321" s="97">
        <f t="shared" si="17"/>
        <v>-1638000000</v>
      </c>
      <c r="G321" s="97"/>
    </row>
    <row r="322" spans="1:9">
      <c r="A322" s="97" t="s">
        <v>5094</v>
      </c>
      <c r="B322" s="111">
        <v>-295000</v>
      </c>
      <c r="C322" s="97">
        <v>0</v>
      </c>
      <c r="D322" s="97">
        <f t="shared" si="18"/>
        <v>271</v>
      </c>
      <c r="E322" s="97">
        <f t="shared" si="19"/>
        <v>1</v>
      </c>
      <c r="F322" s="97">
        <f t="shared" si="17"/>
        <v>-79650000</v>
      </c>
      <c r="G322" s="97"/>
    </row>
    <row r="323" spans="1:9">
      <c r="A323" s="97" t="s">
        <v>5094</v>
      </c>
      <c r="B323" s="111">
        <v>483</v>
      </c>
      <c r="C323" s="97">
        <v>8</v>
      </c>
      <c r="D323" s="97">
        <f t="shared" si="18"/>
        <v>271</v>
      </c>
      <c r="E323" s="97">
        <f t="shared" si="19"/>
        <v>1</v>
      </c>
      <c r="F323" s="97">
        <f t="shared" si="17"/>
        <v>130410</v>
      </c>
      <c r="G323" s="97" t="s">
        <v>687</v>
      </c>
      <c r="I323" t="s">
        <v>25</v>
      </c>
    </row>
    <row r="324" spans="1:9">
      <c r="A324" s="97" t="s">
        <v>5112</v>
      </c>
      <c r="B324" s="111">
        <v>1700000</v>
      </c>
      <c r="C324" s="97">
        <v>0</v>
      </c>
      <c r="D324" s="97">
        <f t="shared" si="18"/>
        <v>263</v>
      </c>
      <c r="E324" s="97">
        <f t="shared" si="19"/>
        <v>0</v>
      </c>
      <c r="F324" s="97">
        <f t="shared" si="17"/>
        <v>447100000</v>
      </c>
      <c r="G324" s="97"/>
    </row>
    <row r="325" spans="1:9">
      <c r="A325" s="97" t="s">
        <v>5112</v>
      </c>
      <c r="B325" s="111">
        <v>-53000</v>
      </c>
      <c r="C325" s="97">
        <v>1</v>
      </c>
      <c r="D325" s="97">
        <f t="shared" si="18"/>
        <v>263</v>
      </c>
      <c r="E325" s="97">
        <f t="shared" si="19"/>
        <v>0</v>
      </c>
      <c r="F325" s="97">
        <f t="shared" si="17"/>
        <v>-13939000</v>
      </c>
      <c r="G325" s="97"/>
    </row>
    <row r="326" spans="1:9">
      <c r="A326" s="97" t="s">
        <v>5113</v>
      </c>
      <c r="B326" s="111">
        <v>-1300000</v>
      </c>
      <c r="C326" s="97">
        <v>0</v>
      </c>
      <c r="D326" s="97">
        <f t="shared" si="18"/>
        <v>262</v>
      </c>
      <c r="E326" s="97">
        <f t="shared" si="19"/>
        <v>0</v>
      </c>
      <c r="F326" s="97">
        <f t="shared" si="17"/>
        <v>-340600000</v>
      </c>
      <c r="G326" s="97"/>
      <c r="I326" t="s">
        <v>25</v>
      </c>
    </row>
    <row r="327" spans="1:9">
      <c r="A327" s="97" t="s">
        <v>5113</v>
      </c>
      <c r="B327" s="111">
        <v>-41500</v>
      </c>
      <c r="C327" s="97">
        <v>1</v>
      </c>
      <c r="D327" s="97">
        <f t="shared" ref="D327:D333" si="20">D328+C327</f>
        <v>262</v>
      </c>
      <c r="E327" s="97">
        <f t="shared" ref="E327:E333" si="21">IF(B328&gt;0,1,0)</f>
        <v>0</v>
      </c>
      <c r="F327" s="97">
        <f t="shared" si="17"/>
        <v>-10873000</v>
      </c>
      <c r="G327" s="97"/>
    </row>
    <row r="328" spans="1:9">
      <c r="A328" s="97" t="s">
        <v>5116</v>
      </c>
      <c r="B328" s="111">
        <v>-57700</v>
      </c>
      <c r="C328" s="97">
        <v>3</v>
      </c>
      <c r="D328" s="97">
        <f t="shared" si="20"/>
        <v>261</v>
      </c>
      <c r="E328" s="97">
        <f t="shared" si="21"/>
        <v>0</v>
      </c>
      <c r="F328" s="97">
        <f t="shared" si="17"/>
        <v>-15059700</v>
      </c>
      <c r="G328" s="97"/>
    </row>
    <row r="329" spans="1:9">
      <c r="A329" s="97" t="s">
        <v>5119</v>
      </c>
      <c r="B329" s="111">
        <v>-5600</v>
      </c>
      <c r="C329" s="97">
        <v>1</v>
      </c>
      <c r="D329" s="97">
        <f t="shared" si="20"/>
        <v>258</v>
      </c>
      <c r="E329" s="97">
        <f t="shared" si="21"/>
        <v>0</v>
      </c>
      <c r="F329" s="97">
        <f t="shared" si="17"/>
        <v>-1444800</v>
      </c>
      <c r="G329" s="97"/>
    </row>
    <row r="330" spans="1:9">
      <c r="A330" s="97" t="s">
        <v>5120</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5129</v>
      </c>
      <c r="B333" s="111">
        <v>-78508</v>
      </c>
      <c r="C333" s="97">
        <v>2</v>
      </c>
      <c r="D333" s="97">
        <f t="shared" si="20"/>
        <v>253</v>
      </c>
      <c r="E333" s="97">
        <f t="shared" si="21"/>
        <v>0</v>
      </c>
      <c r="F333" s="97">
        <f>B333*(D333-E333)</f>
        <v>-19862524</v>
      </c>
      <c r="G333" s="97"/>
    </row>
    <row r="334" spans="1:9">
      <c r="A334" s="97" t="s">
        <v>5130</v>
      </c>
      <c r="B334" s="111">
        <v>-2000</v>
      </c>
      <c r="C334" s="97">
        <v>4</v>
      </c>
      <c r="D334" s="97">
        <f t="shared" ref="D334:D352" si="22">D335+C334</f>
        <v>251</v>
      </c>
      <c r="E334" s="97">
        <f t="shared" ref="E334:E352" si="23">IF(B335&gt;0,1,0)</f>
        <v>1</v>
      </c>
      <c r="F334" s="97">
        <f t="shared" ref="F334:F352" si="24">B334*(D334-E334)</f>
        <v>-500000</v>
      </c>
      <c r="G334" s="97"/>
    </row>
    <row r="335" spans="1:9">
      <c r="A335" s="97" t="s">
        <v>5133</v>
      </c>
      <c r="B335" s="111">
        <v>2200472</v>
      </c>
      <c r="C335" s="97">
        <v>1</v>
      </c>
      <c r="D335" s="97">
        <f t="shared" si="22"/>
        <v>247</v>
      </c>
      <c r="E335" s="97">
        <f t="shared" si="23"/>
        <v>0</v>
      </c>
      <c r="F335" s="97">
        <f t="shared" si="24"/>
        <v>543516584</v>
      </c>
      <c r="G335" s="97"/>
      <c r="H335" t="s">
        <v>25</v>
      </c>
    </row>
    <row r="336" spans="1:9">
      <c r="A336" s="97" t="s">
        <v>5139</v>
      </c>
      <c r="B336" s="111">
        <v>-28000</v>
      </c>
      <c r="C336" s="97">
        <v>2</v>
      </c>
      <c r="D336" s="97">
        <f t="shared" si="22"/>
        <v>246</v>
      </c>
      <c r="E336" s="97">
        <f t="shared" si="23"/>
        <v>1</v>
      </c>
      <c r="F336" s="97">
        <f t="shared" si="24"/>
        <v>-6860000</v>
      </c>
      <c r="G336" s="97"/>
    </row>
    <row r="337" spans="1:13">
      <c r="A337" s="97" t="s">
        <v>5138</v>
      </c>
      <c r="B337" s="111">
        <v>2500000</v>
      </c>
      <c r="C337" s="97">
        <v>0</v>
      </c>
      <c r="D337" s="97">
        <f t="shared" si="22"/>
        <v>244</v>
      </c>
      <c r="E337" s="97">
        <f t="shared" si="23"/>
        <v>0</v>
      </c>
      <c r="F337" s="97">
        <f t="shared" si="24"/>
        <v>610000000</v>
      </c>
      <c r="G337" s="97"/>
    </row>
    <row r="338" spans="1:13">
      <c r="A338" s="97" t="s">
        <v>5138</v>
      </c>
      <c r="B338" s="111">
        <v>-407500</v>
      </c>
      <c r="C338" s="97">
        <v>2</v>
      </c>
      <c r="D338" s="97">
        <f t="shared" si="22"/>
        <v>244</v>
      </c>
      <c r="E338" s="97">
        <f t="shared" si="23"/>
        <v>0</v>
      </c>
      <c r="F338" s="97">
        <f t="shared" si="24"/>
        <v>-99430000</v>
      </c>
      <c r="G338" s="97"/>
    </row>
    <row r="339" spans="1:13">
      <c r="A339" s="97" t="s">
        <v>5140</v>
      </c>
      <c r="B339" s="111">
        <v>-3600</v>
      </c>
      <c r="C339" s="97">
        <v>1</v>
      </c>
      <c r="D339" s="97">
        <f t="shared" si="22"/>
        <v>242</v>
      </c>
      <c r="E339" s="97">
        <f t="shared" si="23"/>
        <v>0</v>
      </c>
      <c r="F339" s="97">
        <f t="shared" si="24"/>
        <v>-871200</v>
      </c>
      <c r="G339" s="97"/>
    </row>
    <row r="340" spans="1:13">
      <c r="A340" s="97" t="s">
        <v>5144</v>
      </c>
      <c r="B340" s="111">
        <v>-170094</v>
      </c>
      <c r="C340" s="97">
        <v>1</v>
      </c>
      <c r="D340" s="97">
        <f t="shared" si="22"/>
        <v>241</v>
      </c>
      <c r="E340" s="97">
        <f t="shared" si="23"/>
        <v>0</v>
      </c>
      <c r="F340" s="97">
        <f t="shared" si="24"/>
        <v>-40992654</v>
      </c>
      <c r="G340" s="97"/>
      <c r="J340" t="s">
        <v>25</v>
      </c>
    </row>
    <row r="341" spans="1:13">
      <c r="A341" s="97" t="s">
        <v>5141</v>
      </c>
      <c r="B341" s="111">
        <v>-51730</v>
      </c>
      <c r="C341" s="97">
        <v>1</v>
      </c>
      <c r="D341" s="97">
        <f t="shared" si="22"/>
        <v>240</v>
      </c>
      <c r="E341" s="97">
        <f t="shared" si="23"/>
        <v>0</v>
      </c>
      <c r="F341" s="97">
        <f t="shared" si="24"/>
        <v>-12415200</v>
      </c>
      <c r="G341" s="97"/>
    </row>
    <row r="342" spans="1:13">
      <c r="A342" s="97" t="s">
        <v>5145</v>
      </c>
      <c r="B342" s="111">
        <v>-200000</v>
      </c>
      <c r="C342" s="97">
        <v>2</v>
      </c>
      <c r="D342" s="97">
        <f t="shared" si="22"/>
        <v>239</v>
      </c>
      <c r="E342" s="97">
        <f t="shared" si="23"/>
        <v>0</v>
      </c>
      <c r="F342" s="97">
        <f t="shared" si="24"/>
        <v>-47800000</v>
      </c>
      <c r="G342" s="97"/>
    </row>
    <row r="343" spans="1:13">
      <c r="A343" s="97" t="s">
        <v>5111</v>
      </c>
      <c r="B343" s="111">
        <v>-3000000</v>
      </c>
      <c r="C343" s="97">
        <v>0</v>
      </c>
      <c r="D343" s="97">
        <f t="shared" si="22"/>
        <v>237</v>
      </c>
      <c r="E343" s="97">
        <f t="shared" si="23"/>
        <v>0</v>
      </c>
      <c r="F343" s="97">
        <f t="shared" si="24"/>
        <v>-711000000</v>
      </c>
      <c r="G343" s="97"/>
    </row>
    <row r="344" spans="1:13">
      <c r="A344" s="97" t="s">
        <v>5111</v>
      </c>
      <c r="B344" s="111">
        <v>-39726</v>
      </c>
      <c r="C344" s="97">
        <v>1</v>
      </c>
      <c r="D344" s="97">
        <f t="shared" si="22"/>
        <v>237</v>
      </c>
      <c r="E344" s="97">
        <f t="shared" si="23"/>
        <v>0</v>
      </c>
      <c r="F344" s="97">
        <f t="shared" si="24"/>
        <v>-9415062</v>
      </c>
      <c r="G344" s="97"/>
      <c r="M344" t="s">
        <v>25</v>
      </c>
    </row>
    <row r="345" spans="1:13">
      <c r="A345" s="97" t="s">
        <v>5147</v>
      </c>
      <c r="B345" s="111">
        <v>-566500</v>
      </c>
      <c r="C345" s="97">
        <v>1</v>
      </c>
      <c r="D345" s="97">
        <f t="shared" si="22"/>
        <v>236</v>
      </c>
      <c r="E345" s="97">
        <f t="shared" si="23"/>
        <v>0</v>
      </c>
      <c r="F345" s="97">
        <f t="shared" si="24"/>
        <v>-133694000</v>
      </c>
      <c r="G345" s="97"/>
      <c r="K345" t="s">
        <v>25</v>
      </c>
    </row>
    <row r="346" spans="1:13">
      <c r="A346" s="97" t="s">
        <v>5148</v>
      </c>
      <c r="B346" s="111">
        <v>-300000</v>
      </c>
      <c r="C346" s="97">
        <v>22</v>
      </c>
      <c r="D346" s="97">
        <f t="shared" si="22"/>
        <v>235</v>
      </c>
      <c r="E346" s="97">
        <f t="shared" si="23"/>
        <v>1</v>
      </c>
      <c r="F346" s="97">
        <f t="shared" si="24"/>
        <v>-70200000</v>
      </c>
      <c r="G346" s="97"/>
      <c r="J346" t="s">
        <v>25</v>
      </c>
    </row>
    <row r="347" spans="1:13">
      <c r="A347" s="97" t="s">
        <v>5168</v>
      </c>
      <c r="B347" s="111">
        <v>700000</v>
      </c>
      <c r="C347" s="97">
        <v>1</v>
      </c>
      <c r="D347" s="97">
        <f t="shared" si="22"/>
        <v>213</v>
      </c>
      <c r="E347" s="97">
        <f t="shared" si="23"/>
        <v>0</v>
      </c>
      <c r="F347" s="97">
        <f t="shared" si="24"/>
        <v>149100000</v>
      </c>
      <c r="G347" s="97"/>
    </row>
    <row r="348" spans="1:13">
      <c r="A348" s="97" t="s">
        <v>5171</v>
      </c>
      <c r="B348" s="111">
        <v>-101000</v>
      </c>
      <c r="C348" s="97">
        <v>1</v>
      </c>
      <c r="D348" s="97">
        <f t="shared" si="22"/>
        <v>212</v>
      </c>
      <c r="E348" s="97">
        <f t="shared" si="23"/>
        <v>0</v>
      </c>
      <c r="F348" s="97">
        <f t="shared" si="24"/>
        <v>-21412000</v>
      </c>
      <c r="G348" s="97"/>
    </row>
    <row r="349" spans="1:13">
      <c r="A349" s="97" t="s">
        <v>5171</v>
      </c>
      <c r="B349" s="111">
        <v>-57245</v>
      </c>
      <c r="C349" s="97">
        <v>1</v>
      </c>
      <c r="D349" s="97">
        <f t="shared" si="22"/>
        <v>211</v>
      </c>
      <c r="E349" s="97">
        <f t="shared" si="23"/>
        <v>0</v>
      </c>
      <c r="F349" s="97">
        <f t="shared" si="24"/>
        <v>-12078695</v>
      </c>
      <c r="G349" s="97"/>
    </row>
    <row r="350" spans="1:13">
      <c r="A350" s="97" t="s">
        <v>5173</v>
      </c>
      <c r="B350" s="111">
        <v>-398700</v>
      </c>
      <c r="C350" s="97">
        <v>2</v>
      </c>
      <c r="D350" s="97">
        <f t="shared" si="22"/>
        <v>210</v>
      </c>
      <c r="E350" s="97">
        <f t="shared" si="23"/>
        <v>0</v>
      </c>
      <c r="F350" s="97">
        <f t="shared" si="24"/>
        <v>-83727000</v>
      </c>
      <c r="G350" s="97"/>
    </row>
    <row r="351" spans="1:13">
      <c r="A351" s="97" t="s">
        <v>5172</v>
      </c>
      <c r="B351" s="111">
        <v>-87010</v>
      </c>
      <c r="C351" s="97">
        <v>5</v>
      </c>
      <c r="D351" s="97">
        <f t="shared" si="22"/>
        <v>208</v>
      </c>
      <c r="E351" s="97">
        <f t="shared" si="23"/>
        <v>0</v>
      </c>
      <c r="F351" s="97">
        <f t="shared" si="24"/>
        <v>-18098080</v>
      </c>
      <c r="G351" s="97"/>
    </row>
    <row r="352" spans="1:13">
      <c r="A352" s="97" t="s">
        <v>5202</v>
      </c>
      <c r="B352" s="111">
        <v>-50000</v>
      </c>
      <c r="C352" s="97">
        <v>28</v>
      </c>
      <c r="D352" s="97">
        <f t="shared" si="22"/>
        <v>203</v>
      </c>
      <c r="E352" s="97">
        <f t="shared" si="23"/>
        <v>1</v>
      </c>
      <c r="F352" s="97">
        <f t="shared" si="24"/>
        <v>-10100000</v>
      </c>
      <c r="G352" s="97"/>
    </row>
    <row r="353" spans="1:12">
      <c r="A353" s="97" t="s">
        <v>5201</v>
      </c>
      <c r="B353" s="111">
        <v>1200000</v>
      </c>
      <c r="C353" s="97">
        <v>0</v>
      </c>
      <c r="D353" s="97">
        <f t="shared" ref="D353:D365" si="25">D354+C353</f>
        <v>175</v>
      </c>
      <c r="E353" s="97">
        <f t="shared" ref="E353:E365" si="26">IF(B354&gt;0,1,0)</f>
        <v>0</v>
      </c>
      <c r="F353" s="97">
        <f t="shared" ref="F353:F365" si="27">B353*(D353-E353)</f>
        <v>210000000</v>
      </c>
      <c r="G353" s="97"/>
    </row>
    <row r="354" spans="1:12">
      <c r="A354" s="97" t="s">
        <v>5201</v>
      </c>
      <c r="B354" s="111">
        <v>-367300</v>
      </c>
      <c r="C354" s="97">
        <v>1</v>
      </c>
      <c r="D354" s="97">
        <f t="shared" si="25"/>
        <v>175</v>
      </c>
      <c r="E354" s="97">
        <f t="shared" si="26"/>
        <v>0</v>
      </c>
      <c r="F354" s="97">
        <f t="shared" si="27"/>
        <v>-64277500</v>
      </c>
      <c r="G354" s="97"/>
    </row>
    <row r="355" spans="1:12">
      <c r="A355" s="97" t="s">
        <v>5203</v>
      </c>
      <c r="B355" s="111">
        <v>-104894</v>
      </c>
      <c r="C355" s="97">
        <v>1</v>
      </c>
      <c r="D355" s="97">
        <f t="shared" si="25"/>
        <v>174</v>
      </c>
      <c r="E355" s="97">
        <f t="shared" si="26"/>
        <v>0</v>
      </c>
      <c r="F355" s="97">
        <f t="shared" si="27"/>
        <v>-18251556</v>
      </c>
      <c r="G355" s="97"/>
    </row>
    <row r="356" spans="1:12">
      <c r="A356" s="97" t="s">
        <v>5204</v>
      </c>
      <c r="B356" s="111">
        <v>-688700</v>
      </c>
      <c r="C356" s="97">
        <v>0</v>
      </c>
      <c r="D356" s="97">
        <f t="shared" si="25"/>
        <v>173</v>
      </c>
      <c r="E356" s="97">
        <f t="shared" si="26"/>
        <v>0</v>
      </c>
      <c r="F356" s="97">
        <f t="shared" si="27"/>
        <v>-119145100</v>
      </c>
      <c r="G356" s="97"/>
    </row>
    <row r="357" spans="1:12">
      <c r="A357" s="97" t="s">
        <v>5204</v>
      </c>
      <c r="B357" s="111">
        <v>-8321</v>
      </c>
      <c r="C357" s="97">
        <v>5</v>
      </c>
      <c r="D357" s="97">
        <f t="shared" si="25"/>
        <v>173</v>
      </c>
      <c r="E357" s="97">
        <f t="shared" si="26"/>
        <v>1</v>
      </c>
      <c r="F357" s="97">
        <f t="shared" si="27"/>
        <v>-1431212</v>
      </c>
      <c r="G357" s="97"/>
      <c r="J357" t="s">
        <v>25</v>
      </c>
    </row>
    <row r="358" spans="1:12">
      <c r="A358" s="97" t="s">
        <v>5214</v>
      </c>
      <c r="B358" s="111">
        <v>1000000</v>
      </c>
      <c r="C358" s="97">
        <v>0</v>
      </c>
      <c r="D358" s="97">
        <f t="shared" si="25"/>
        <v>168</v>
      </c>
      <c r="E358" s="97">
        <f t="shared" si="26"/>
        <v>0</v>
      </c>
      <c r="F358" s="97">
        <f t="shared" si="27"/>
        <v>168000000</v>
      </c>
      <c r="G358" s="97"/>
    </row>
    <row r="359" spans="1:12">
      <c r="A359" s="97" t="s">
        <v>5214</v>
      </c>
      <c r="B359" s="111">
        <v>-127644</v>
      </c>
      <c r="C359" s="97">
        <v>1</v>
      </c>
      <c r="D359" s="97">
        <f t="shared" si="25"/>
        <v>168</v>
      </c>
      <c r="E359" s="97">
        <f t="shared" si="26"/>
        <v>0</v>
      </c>
      <c r="F359" s="97">
        <f t="shared" si="27"/>
        <v>-21444192</v>
      </c>
      <c r="G359" s="97"/>
    </row>
    <row r="360" spans="1:12">
      <c r="A360" s="97" t="s">
        <v>5215</v>
      </c>
      <c r="B360" s="111">
        <v>-418000</v>
      </c>
      <c r="C360" s="97">
        <v>4</v>
      </c>
      <c r="D360" s="97">
        <f t="shared" si="25"/>
        <v>167</v>
      </c>
      <c r="E360" s="97">
        <f t="shared" si="26"/>
        <v>0</v>
      </c>
      <c r="F360" s="97">
        <f t="shared" si="27"/>
        <v>-69806000</v>
      </c>
      <c r="G360" s="97"/>
    </row>
    <row r="361" spans="1:12">
      <c r="A361" s="97" t="s">
        <v>5219</v>
      </c>
      <c r="B361" s="111">
        <v>-183136</v>
      </c>
      <c r="C361" s="97">
        <v>2</v>
      </c>
      <c r="D361" s="97">
        <f t="shared" si="25"/>
        <v>163</v>
      </c>
      <c r="E361" s="97">
        <f t="shared" si="26"/>
        <v>0</v>
      </c>
      <c r="F361" s="97">
        <f t="shared" si="27"/>
        <v>-29851168</v>
      </c>
      <c r="G361" s="97"/>
      <c r="L361" t="s">
        <v>25</v>
      </c>
    </row>
    <row r="362" spans="1:12">
      <c r="A362" s="97" t="s">
        <v>5240</v>
      </c>
      <c r="B362" s="111">
        <v>-18600</v>
      </c>
      <c r="C362" s="97">
        <v>2</v>
      </c>
      <c r="D362" s="97">
        <f t="shared" si="25"/>
        <v>161</v>
      </c>
      <c r="E362" s="97">
        <f t="shared" si="26"/>
        <v>0</v>
      </c>
      <c r="F362" s="97">
        <f t="shared" si="27"/>
        <v>-2994600</v>
      </c>
      <c r="G362" s="97"/>
    </row>
    <row r="363" spans="1:12">
      <c r="A363" s="97" t="s">
        <v>5225</v>
      </c>
      <c r="B363" s="111">
        <v>-90000</v>
      </c>
      <c r="C363" s="97">
        <v>1</v>
      </c>
      <c r="D363" s="97">
        <f t="shared" si="25"/>
        <v>159</v>
      </c>
      <c r="E363" s="97">
        <f t="shared" si="26"/>
        <v>0</v>
      </c>
      <c r="F363" s="97">
        <f t="shared" si="27"/>
        <v>-14310000</v>
      </c>
      <c r="G363" s="97"/>
    </row>
    <row r="364" spans="1:12">
      <c r="A364" s="97" t="s">
        <v>5226</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5229</v>
      </c>
      <c r="B368" s="111">
        <v>3500000</v>
      </c>
      <c r="C368" s="97">
        <v>3</v>
      </c>
      <c r="D368" s="97">
        <f t="shared" si="28"/>
        <v>156</v>
      </c>
      <c r="E368" s="97">
        <f t="shared" si="29"/>
        <v>0</v>
      </c>
      <c r="F368" s="97">
        <f t="shared" si="30"/>
        <v>546000000</v>
      </c>
      <c r="G368" s="97"/>
    </row>
    <row r="369" spans="1:11">
      <c r="A369" s="97" t="s">
        <v>5231</v>
      </c>
      <c r="B369" s="111">
        <v>-93800</v>
      </c>
      <c r="C369" s="97">
        <v>1</v>
      </c>
      <c r="D369" s="97">
        <f t="shared" si="28"/>
        <v>153</v>
      </c>
      <c r="E369" s="97">
        <f t="shared" si="29"/>
        <v>0</v>
      </c>
      <c r="F369" s="97">
        <f t="shared" si="30"/>
        <v>-14351400</v>
      </c>
      <c r="G369" s="97"/>
    </row>
    <row r="370" spans="1:11">
      <c r="A370" s="97" t="s">
        <v>5233</v>
      </c>
      <c r="B370" s="111">
        <v>-815500</v>
      </c>
      <c r="C370" s="97">
        <v>1</v>
      </c>
      <c r="D370" s="97">
        <f t="shared" si="28"/>
        <v>152</v>
      </c>
      <c r="E370" s="97">
        <f t="shared" si="29"/>
        <v>0</v>
      </c>
      <c r="F370" s="97">
        <f t="shared" si="30"/>
        <v>-123956000</v>
      </c>
      <c r="G370" s="97"/>
    </row>
    <row r="371" spans="1:11">
      <c r="A371" s="97" t="s">
        <v>5236</v>
      </c>
      <c r="B371" s="111">
        <v>-2096840</v>
      </c>
      <c r="C371" s="97">
        <v>0</v>
      </c>
      <c r="D371" s="97">
        <f t="shared" si="28"/>
        <v>151</v>
      </c>
      <c r="E371" s="97">
        <f t="shared" si="29"/>
        <v>1</v>
      </c>
      <c r="F371" s="97">
        <f t="shared" si="30"/>
        <v>-314526000</v>
      </c>
      <c r="G371" s="97"/>
    </row>
    <row r="372" spans="1:11">
      <c r="A372" s="97" t="s">
        <v>5236</v>
      </c>
      <c r="B372" s="111">
        <v>533</v>
      </c>
      <c r="C372" s="97">
        <v>1</v>
      </c>
      <c r="D372" s="97">
        <f t="shared" si="28"/>
        <v>151</v>
      </c>
      <c r="E372" s="97">
        <f t="shared" si="29"/>
        <v>1</v>
      </c>
      <c r="F372" s="97">
        <f t="shared" si="30"/>
        <v>79950</v>
      </c>
      <c r="G372" s="97"/>
      <c r="J372" t="s">
        <v>25</v>
      </c>
    </row>
    <row r="373" spans="1:11">
      <c r="A373" s="97" t="s">
        <v>5238</v>
      </c>
      <c r="B373" s="111">
        <v>4100000</v>
      </c>
      <c r="C373" s="97">
        <v>1</v>
      </c>
      <c r="D373" s="97">
        <f t="shared" si="28"/>
        <v>150</v>
      </c>
      <c r="E373" s="97">
        <f t="shared" si="29"/>
        <v>0</v>
      </c>
      <c r="F373" s="97">
        <f t="shared" si="30"/>
        <v>615000000</v>
      </c>
      <c r="G373" s="97"/>
    </row>
    <row r="374" spans="1:11">
      <c r="A374" s="97" t="s">
        <v>5241</v>
      </c>
      <c r="B374" s="111">
        <v>-3642549</v>
      </c>
      <c r="C374" s="97">
        <v>3</v>
      </c>
      <c r="D374" s="97">
        <f t="shared" si="28"/>
        <v>149</v>
      </c>
      <c r="E374" s="97">
        <f t="shared" si="29"/>
        <v>0</v>
      </c>
      <c r="F374" s="97">
        <f t="shared" si="30"/>
        <v>-542739801</v>
      </c>
      <c r="G374" s="97"/>
    </row>
    <row r="375" spans="1:11">
      <c r="A375" s="97" t="s">
        <v>5250</v>
      </c>
      <c r="B375" s="111">
        <v>-317091</v>
      </c>
      <c r="C375" s="97">
        <v>1</v>
      </c>
      <c r="D375" s="97">
        <f t="shared" si="28"/>
        <v>146</v>
      </c>
      <c r="E375" s="97">
        <f t="shared" si="29"/>
        <v>0</v>
      </c>
      <c r="F375" s="97">
        <f t="shared" si="30"/>
        <v>-46295286</v>
      </c>
      <c r="G375" s="97"/>
    </row>
    <row r="376" spans="1:11">
      <c r="A376" s="97" t="s">
        <v>5243</v>
      </c>
      <c r="B376" s="111">
        <v>-1600000</v>
      </c>
      <c r="C376" s="97">
        <v>1</v>
      </c>
      <c r="D376" s="97">
        <f t="shared" si="28"/>
        <v>145</v>
      </c>
      <c r="E376" s="97">
        <f t="shared" si="29"/>
        <v>0</v>
      </c>
      <c r="F376" s="97">
        <f t="shared" si="30"/>
        <v>-232000000</v>
      </c>
      <c r="G376" s="97"/>
    </row>
    <row r="377" spans="1:11">
      <c r="A377" s="97" t="s">
        <v>5245</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5319</v>
      </c>
      <c r="B379" s="111">
        <v>10000000</v>
      </c>
      <c r="C379" s="97">
        <v>0</v>
      </c>
      <c r="D379" s="97">
        <f t="shared" si="31"/>
        <v>121</v>
      </c>
      <c r="E379" s="97">
        <f t="shared" si="32"/>
        <v>0</v>
      </c>
      <c r="F379" s="97">
        <f t="shared" si="33"/>
        <v>1210000000</v>
      </c>
      <c r="G379" s="97"/>
    </row>
    <row r="380" spans="1:11">
      <c r="A380" s="97" t="s">
        <v>5319</v>
      </c>
      <c r="B380" s="111">
        <v>-3000000</v>
      </c>
      <c r="C380" s="97">
        <v>0</v>
      </c>
      <c r="D380" s="97">
        <f t="shared" si="31"/>
        <v>121</v>
      </c>
      <c r="E380" s="97">
        <f t="shared" si="32"/>
        <v>0</v>
      </c>
      <c r="F380" s="97">
        <f t="shared" si="33"/>
        <v>-363000000</v>
      </c>
      <c r="G380" s="97"/>
    </row>
    <row r="381" spans="1:11">
      <c r="A381" s="97" t="s">
        <v>5319</v>
      </c>
      <c r="B381" s="111">
        <v>-3971300</v>
      </c>
      <c r="C381" s="97">
        <v>7</v>
      </c>
      <c r="D381" s="97">
        <f t="shared" si="31"/>
        <v>121</v>
      </c>
      <c r="E381" s="97">
        <f t="shared" si="32"/>
        <v>0</v>
      </c>
      <c r="F381" s="97">
        <f t="shared" si="33"/>
        <v>-480527300</v>
      </c>
      <c r="G381" s="97"/>
    </row>
    <row r="382" spans="1:11">
      <c r="A382" s="97" t="s">
        <v>5333</v>
      </c>
      <c r="B382" s="111">
        <v>-2472422</v>
      </c>
      <c r="C382" s="97">
        <v>2</v>
      </c>
      <c r="D382" s="97">
        <f t="shared" si="31"/>
        <v>114</v>
      </c>
      <c r="E382" s="97">
        <f t="shared" si="32"/>
        <v>0</v>
      </c>
      <c r="F382" s="97">
        <f t="shared" si="33"/>
        <v>-281856108</v>
      </c>
      <c r="G382" s="97"/>
    </row>
    <row r="383" spans="1:11">
      <c r="A383" s="97" t="s">
        <v>5357</v>
      </c>
      <c r="B383" s="111">
        <v>-345000</v>
      </c>
      <c r="C383" s="97">
        <v>1</v>
      </c>
      <c r="D383" s="97">
        <f t="shared" si="31"/>
        <v>112</v>
      </c>
      <c r="E383" s="97">
        <f t="shared" si="32"/>
        <v>0</v>
      </c>
      <c r="F383" s="97">
        <f t="shared" si="33"/>
        <v>-38640000</v>
      </c>
      <c r="G383" s="97"/>
    </row>
    <row r="384" spans="1:11">
      <c r="A384" s="97" t="s">
        <v>5358</v>
      </c>
      <c r="B384" s="111">
        <v>-200000</v>
      </c>
      <c r="C384" s="97">
        <v>10</v>
      </c>
      <c r="D384" s="97">
        <f t="shared" si="31"/>
        <v>111</v>
      </c>
      <c r="E384" s="97">
        <f t="shared" si="32"/>
        <v>1</v>
      </c>
      <c r="F384" s="97">
        <f t="shared" si="33"/>
        <v>-22000000</v>
      </c>
      <c r="G384" s="97"/>
    </row>
    <row r="385" spans="1:10">
      <c r="A385" s="97" t="s">
        <v>5353</v>
      </c>
      <c r="B385" s="111">
        <v>800000</v>
      </c>
      <c r="C385" s="97">
        <v>0</v>
      </c>
      <c r="D385" s="97">
        <f t="shared" si="31"/>
        <v>101</v>
      </c>
      <c r="E385" s="97">
        <f t="shared" si="32"/>
        <v>0</v>
      </c>
      <c r="F385" s="97">
        <f t="shared" si="33"/>
        <v>80800000</v>
      </c>
      <c r="G385" s="97"/>
    </row>
    <row r="386" spans="1:10">
      <c r="A386" s="97" t="s">
        <v>5353</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5359</v>
      </c>
      <c r="B389" s="111">
        <v>8000000</v>
      </c>
      <c r="C389" s="97">
        <v>1</v>
      </c>
      <c r="D389" s="97">
        <f t="shared" si="31"/>
        <v>99</v>
      </c>
      <c r="E389" s="97">
        <f t="shared" si="32"/>
        <v>0</v>
      </c>
      <c r="F389" s="97">
        <f t="shared" si="33"/>
        <v>792000000</v>
      </c>
      <c r="G389" s="97"/>
    </row>
    <row r="390" spans="1:10">
      <c r="A390" s="97" t="s">
        <v>5360</v>
      </c>
      <c r="B390" s="111">
        <v>-10000</v>
      </c>
      <c r="C390" s="97">
        <v>1</v>
      </c>
      <c r="D390" s="97">
        <f t="shared" si="31"/>
        <v>98</v>
      </c>
      <c r="E390" s="97">
        <f t="shared" si="32"/>
        <v>0</v>
      </c>
      <c r="F390" s="97">
        <f t="shared" si="33"/>
        <v>-980000</v>
      </c>
      <c r="G390" s="97"/>
    </row>
    <row r="391" spans="1:10">
      <c r="A391" s="97" t="s">
        <v>5361</v>
      </c>
      <c r="B391" s="111">
        <v>-88000</v>
      </c>
      <c r="C391" s="97">
        <v>1</v>
      </c>
      <c r="D391" s="97">
        <f t="shared" si="31"/>
        <v>97</v>
      </c>
      <c r="E391" s="97">
        <f t="shared" si="32"/>
        <v>0</v>
      </c>
      <c r="F391" s="97">
        <f t="shared" si="33"/>
        <v>-8536000</v>
      </c>
      <c r="G391" s="97"/>
    </row>
    <row r="392" spans="1:10">
      <c r="A392" s="97" t="s">
        <v>5362</v>
      </c>
      <c r="B392" s="111">
        <v>-297675</v>
      </c>
      <c r="C392" s="97">
        <v>3</v>
      </c>
      <c r="D392" s="97">
        <f t="shared" si="31"/>
        <v>96</v>
      </c>
      <c r="E392" s="97">
        <f t="shared" si="32"/>
        <v>0</v>
      </c>
      <c r="F392" s="97">
        <f t="shared" si="33"/>
        <v>-28576800</v>
      </c>
      <c r="G392" s="97"/>
    </row>
    <row r="393" spans="1:10">
      <c r="A393" s="97" t="s">
        <v>5354</v>
      </c>
      <c r="B393" s="111">
        <v>-10114121</v>
      </c>
      <c r="C393" s="97">
        <v>1</v>
      </c>
      <c r="D393" s="97">
        <f t="shared" si="31"/>
        <v>93</v>
      </c>
      <c r="E393" s="97">
        <f t="shared" si="32"/>
        <v>0</v>
      </c>
      <c r="F393" s="97">
        <f t="shared" si="33"/>
        <v>-940613253</v>
      </c>
      <c r="G393" s="97"/>
    </row>
    <row r="394" spans="1:10">
      <c r="A394" s="97" t="s">
        <v>5355</v>
      </c>
      <c r="B394" s="111">
        <v>-9000000</v>
      </c>
      <c r="C394" s="97">
        <v>1</v>
      </c>
      <c r="D394" s="97">
        <f t="shared" si="31"/>
        <v>92</v>
      </c>
      <c r="E394" s="97">
        <f t="shared" si="32"/>
        <v>0</v>
      </c>
      <c r="F394" s="97">
        <f t="shared" si="33"/>
        <v>-828000000</v>
      </c>
      <c r="G394" s="97"/>
      <c r="J394" s="112">
        <f>B422-743653+21500</f>
        <v>3919446</v>
      </c>
    </row>
    <row r="395" spans="1:10">
      <c r="A395" s="97" t="s">
        <v>5363</v>
      </c>
      <c r="B395" s="111">
        <v>-83930</v>
      </c>
      <c r="C395" s="97">
        <v>1</v>
      </c>
      <c r="D395" s="97">
        <f t="shared" si="31"/>
        <v>91</v>
      </c>
      <c r="E395" s="97">
        <f t="shared" si="32"/>
        <v>0</v>
      </c>
      <c r="F395" s="97">
        <f t="shared" si="33"/>
        <v>-7637630</v>
      </c>
      <c r="G395" s="97"/>
    </row>
    <row r="396" spans="1:10">
      <c r="A396" s="97" t="s">
        <v>5364</v>
      </c>
      <c r="B396" s="111">
        <v>-19520</v>
      </c>
      <c r="C396" s="97">
        <v>0</v>
      </c>
      <c r="D396" s="97">
        <f t="shared" si="31"/>
        <v>90</v>
      </c>
      <c r="E396" s="97">
        <f t="shared" si="32"/>
        <v>0</v>
      </c>
      <c r="F396" s="97">
        <f t="shared" si="33"/>
        <v>-1756800</v>
      </c>
      <c r="G396" s="97"/>
    </row>
    <row r="397" spans="1:10">
      <c r="A397" s="97" t="s">
        <v>5364</v>
      </c>
      <c r="B397" s="111">
        <v>-676034</v>
      </c>
      <c r="C397" s="97">
        <v>27</v>
      </c>
      <c r="D397" s="97">
        <f t="shared" si="31"/>
        <v>90</v>
      </c>
      <c r="E397" s="97">
        <f t="shared" si="32"/>
        <v>1</v>
      </c>
      <c r="F397" s="97">
        <f t="shared" si="33"/>
        <v>-60167026</v>
      </c>
      <c r="G397" s="97"/>
    </row>
    <row r="398" spans="1:10">
      <c r="A398" s="97" t="s">
        <v>5392</v>
      </c>
      <c r="B398" s="111">
        <v>2200000</v>
      </c>
      <c r="C398" s="97">
        <v>2</v>
      </c>
      <c r="D398" s="97">
        <f t="shared" si="31"/>
        <v>63</v>
      </c>
      <c r="E398" s="97">
        <f t="shared" si="32"/>
        <v>0</v>
      </c>
      <c r="F398" s="97">
        <f t="shared" si="33"/>
        <v>138600000</v>
      </c>
      <c r="G398" s="97"/>
    </row>
    <row r="399" spans="1:10">
      <c r="A399" s="97" t="s">
        <v>5397</v>
      </c>
      <c r="B399" s="111">
        <v>-2000000</v>
      </c>
      <c r="C399" s="97">
        <v>1</v>
      </c>
      <c r="D399" s="97">
        <f t="shared" si="31"/>
        <v>61</v>
      </c>
      <c r="E399" s="97">
        <f t="shared" si="32"/>
        <v>0</v>
      </c>
      <c r="F399" s="97">
        <f t="shared" si="33"/>
        <v>-122000000</v>
      </c>
      <c r="G399" s="97"/>
    </row>
    <row r="400" spans="1:10">
      <c r="A400" s="97" t="s">
        <v>5398</v>
      </c>
      <c r="B400" s="111">
        <v>-28400</v>
      </c>
      <c r="C400" s="97">
        <v>1</v>
      </c>
      <c r="D400" s="97">
        <f t="shared" si="31"/>
        <v>60</v>
      </c>
      <c r="E400" s="97">
        <f t="shared" si="32"/>
        <v>0</v>
      </c>
      <c r="F400" s="97">
        <f t="shared" si="33"/>
        <v>-1704000</v>
      </c>
      <c r="G400" s="97"/>
    </row>
    <row r="401" spans="1:15">
      <c r="A401" s="97" t="s">
        <v>5400</v>
      </c>
      <c r="B401" s="111">
        <v>-126475</v>
      </c>
      <c r="C401" s="97">
        <v>1</v>
      </c>
      <c r="D401" s="97">
        <f t="shared" si="31"/>
        <v>59</v>
      </c>
      <c r="E401" s="97">
        <f t="shared" si="32"/>
        <v>0</v>
      </c>
      <c r="F401" s="97">
        <f t="shared" si="33"/>
        <v>-7462025</v>
      </c>
      <c r="G401" s="97"/>
    </row>
    <row r="402" spans="1:15">
      <c r="A402" s="97" t="s">
        <v>5399</v>
      </c>
      <c r="B402" s="111">
        <v>-32807</v>
      </c>
      <c r="C402" s="97">
        <v>4</v>
      </c>
      <c r="D402" s="97">
        <f t="shared" si="31"/>
        <v>58</v>
      </c>
      <c r="E402" s="97">
        <f t="shared" si="32"/>
        <v>0</v>
      </c>
      <c r="F402" s="97">
        <f t="shared" si="33"/>
        <v>-1902806</v>
      </c>
      <c r="G402" s="97"/>
    </row>
    <row r="403" spans="1:15">
      <c r="A403" s="97" t="s">
        <v>5403</v>
      </c>
      <c r="B403" s="111">
        <v>-11700</v>
      </c>
      <c r="C403" s="97">
        <v>7</v>
      </c>
      <c r="D403" s="97">
        <f t="shared" si="31"/>
        <v>54</v>
      </c>
      <c r="E403" s="97">
        <f t="shared" si="32"/>
        <v>1</v>
      </c>
      <c r="F403" s="97">
        <f t="shared" si="33"/>
        <v>-620100</v>
      </c>
      <c r="G403" s="97"/>
    </row>
    <row r="404" spans="1:15">
      <c r="A404" s="97" t="s">
        <v>5412</v>
      </c>
      <c r="B404" s="111">
        <v>5032773</v>
      </c>
      <c r="C404" s="97">
        <v>0</v>
      </c>
      <c r="D404" s="97">
        <f t="shared" si="31"/>
        <v>47</v>
      </c>
      <c r="E404" s="97">
        <f t="shared" si="32"/>
        <v>0</v>
      </c>
      <c r="F404" s="97">
        <f t="shared" si="33"/>
        <v>236540331</v>
      </c>
      <c r="G404" s="97"/>
    </row>
    <row r="405" spans="1:15">
      <c r="A405" s="97" t="s">
        <v>5412</v>
      </c>
      <c r="B405" s="111">
        <v>-5000000</v>
      </c>
      <c r="C405" s="97">
        <v>13</v>
      </c>
      <c r="D405" s="97">
        <f t="shared" si="31"/>
        <v>47</v>
      </c>
      <c r="E405" s="97">
        <f t="shared" si="32"/>
        <v>1</v>
      </c>
      <c r="F405" s="97">
        <f t="shared" si="33"/>
        <v>-230000000</v>
      </c>
      <c r="G405" s="97"/>
    </row>
    <row r="406" spans="1:15">
      <c r="A406" s="97" t="s">
        <v>5442</v>
      </c>
      <c r="B406" s="111">
        <v>1200000</v>
      </c>
      <c r="C406" s="97">
        <v>1</v>
      </c>
      <c r="D406" s="97">
        <f t="shared" si="31"/>
        <v>34</v>
      </c>
      <c r="E406" s="97">
        <f t="shared" si="32"/>
        <v>0</v>
      </c>
      <c r="F406" s="97">
        <f t="shared" si="33"/>
        <v>40800000</v>
      </c>
      <c r="G406" s="97"/>
    </row>
    <row r="407" spans="1:15">
      <c r="A407" s="97" t="s">
        <v>5427</v>
      </c>
      <c r="B407" s="111">
        <v>-1200000</v>
      </c>
      <c r="C407" s="97">
        <v>0</v>
      </c>
      <c r="D407" s="97">
        <f t="shared" si="31"/>
        <v>33</v>
      </c>
      <c r="E407" s="97">
        <f t="shared" si="32"/>
        <v>0</v>
      </c>
      <c r="F407" s="97">
        <f t="shared" si="33"/>
        <v>-39600000</v>
      </c>
      <c r="G407" s="97"/>
      <c r="O407" t="s">
        <v>25</v>
      </c>
    </row>
    <row r="408" spans="1:15">
      <c r="A408" s="97" t="s">
        <v>5427</v>
      </c>
      <c r="B408" s="111">
        <v>-784</v>
      </c>
      <c r="C408" s="97">
        <v>1</v>
      </c>
      <c r="D408" s="97">
        <f t="shared" si="31"/>
        <v>33</v>
      </c>
      <c r="E408" s="97">
        <f t="shared" si="32"/>
        <v>0</v>
      </c>
      <c r="F408" s="97">
        <f t="shared" si="33"/>
        <v>-25872</v>
      </c>
      <c r="G408" s="97" t="s">
        <v>5443</v>
      </c>
    </row>
    <row r="409" spans="1:15">
      <c r="A409" s="97" t="s">
        <v>5476</v>
      </c>
      <c r="B409" s="111">
        <v>-37927</v>
      </c>
      <c r="C409" s="97">
        <v>30</v>
      </c>
      <c r="D409" s="97">
        <f t="shared" si="31"/>
        <v>32</v>
      </c>
      <c r="E409" s="97">
        <f t="shared" si="32"/>
        <v>1</v>
      </c>
      <c r="F409" s="97">
        <f t="shared" si="33"/>
        <v>-1175737</v>
      </c>
      <c r="G409" s="97"/>
    </row>
    <row r="410" spans="1:15">
      <c r="A410" s="97" t="s">
        <v>5478</v>
      </c>
      <c r="B410" s="111">
        <v>5000000</v>
      </c>
      <c r="C410" s="97">
        <v>0</v>
      </c>
      <c r="D410" s="97">
        <f t="shared" si="31"/>
        <v>2</v>
      </c>
      <c r="E410" s="97">
        <f t="shared" si="32"/>
        <v>0</v>
      </c>
      <c r="F410" s="97">
        <f t="shared" si="33"/>
        <v>10000000</v>
      </c>
      <c r="G410" s="97"/>
    </row>
    <row r="411" spans="1:15">
      <c r="A411" s="97" t="s">
        <v>5478</v>
      </c>
      <c r="B411" s="111">
        <v>-1620700</v>
      </c>
      <c r="C411" s="97">
        <v>1</v>
      </c>
      <c r="D411" s="97">
        <f t="shared" si="31"/>
        <v>2</v>
      </c>
      <c r="E411" s="97">
        <f t="shared" si="32"/>
        <v>1</v>
      </c>
      <c r="F411" s="97">
        <f t="shared" si="33"/>
        <v>-1620700</v>
      </c>
      <c r="G411" s="97"/>
    </row>
    <row r="412" spans="1:15">
      <c r="A412" s="97" t="s">
        <v>5480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J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4655</v>
      </c>
      <c r="L15">
        <v>451474</v>
      </c>
      <c r="M15" s="226" t="s">
        <v>4797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5744</v>
      </c>
      <c r="O19" t="s">
        <v>6440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7055</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4998</v>
      </c>
      <c r="L33" t="s">
        <v>4999</v>
      </c>
      <c r="M33" t="s">
        <v>5000</v>
      </c>
      <c r="N33" t="s">
        <v>5001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5003</v>
      </c>
      <c r="M34" t="s">
        <v>5004</v>
      </c>
      <c r="N34" t="s">
        <v>5002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4753</v>
      </c>
      <c r="B193" s="38">
        <v>-25000</v>
      </c>
      <c r="C193" s="11" t="s">
        <v>4760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2022-01-08T13:15:13Z</dcterms:modified>
</cp:coreProperties>
</file>