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S188" i="18" l="1"/>
  <c r="S186" i="18"/>
  <c r="S187" i="18"/>
  <c r="P29" i="18"/>
  <c r="P28" i="18"/>
  <c r="D201" i="60" l="1"/>
  <c r="H180" i="60"/>
  <c r="J18" i="60" l="1"/>
  <c r="O48" i="18" l="1"/>
  <c r="O60" i="18" s="1"/>
  <c r="W157" i="18"/>
  <c r="X157" i="18" s="1"/>
  <c r="T157" i="18"/>
  <c r="Y157" i="18" l="1"/>
  <c r="O49" i="18"/>
  <c r="O63" i="18" s="1"/>
  <c r="W156" i="18"/>
  <c r="X156" i="18" s="1"/>
  <c r="T156" i="18"/>
  <c r="X550" i="18"/>
  <c r="Y156" i="18" l="1"/>
  <c r="S23" i="63"/>
  <c r="S22" i="63"/>
  <c r="S21" i="63"/>
  <c r="X549" i="18" l="1"/>
  <c r="T155" i="18"/>
  <c r="P43" i="63" l="1"/>
  <c r="Q42" i="63"/>
  <c r="H36" i="63" l="1"/>
  <c r="G37" i="63"/>
  <c r="H37" i="63"/>
  <c r="N37" i="63" s="1"/>
  <c r="I37" i="63"/>
  <c r="O37" i="63"/>
  <c r="R42" i="63"/>
  <c r="J37" i="63" l="1"/>
  <c r="K37" i="63" s="1"/>
  <c r="S38" i="63"/>
  <c r="X548" i="18"/>
  <c r="X547" i="18"/>
  <c r="V556" i="18"/>
  <c r="T77" i="18" l="1"/>
  <c r="O41" i="18"/>
  <c r="O40" i="18"/>
  <c r="I8" i="60" l="1"/>
  <c r="T154" i="18"/>
  <c r="G36" i="63" l="1"/>
  <c r="I36" i="63"/>
  <c r="O36" i="63"/>
  <c r="G10" i="63"/>
  <c r="J36" i="63" l="1"/>
  <c r="K36" i="63" s="1"/>
  <c r="W175" i="18"/>
  <c r="T76" i="18"/>
  <c r="K82" i="18"/>
  <c r="I42" i="63"/>
  <c r="H18" i="60" l="1"/>
  <c r="T153" i="18" l="1"/>
  <c r="T75" i="18"/>
  <c r="T152" i="18" l="1"/>
  <c r="T74" i="18" l="1"/>
  <c r="T151" i="18"/>
  <c r="T73" i="18" l="1"/>
  <c r="T72" i="18" l="1"/>
  <c r="G38" i="63" l="1"/>
  <c r="T71" i="18" l="1"/>
  <c r="T150" i="18" l="1"/>
  <c r="T149" i="18" l="1"/>
  <c r="T148" i="18" l="1"/>
  <c r="T147" i="18" l="1"/>
  <c r="T146" i="18" l="1"/>
  <c r="T145" i="18" l="1"/>
  <c r="S195" i="18"/>
  <c r="F241" i="60" l="1"/>
  <c r="J241" i="60" s="1"/>
  <c r="G241" i="60" l="1"/>
  <c r="H241" i="60" s="1"/>
  <c r="I241" i="60"/>
  <c r="F242" i="60"/>
  <c r="F18" i="60"/>
  <c r="J242" i="60" l="1"/>
  <c r="I242" i="60"/>
  <c r="G242" i="60"/>
  <c r="H242" i="60" s="1"/>
  <c r="F244" i="60"/>
  <c r="F243" i="60"/>
  <c r="T144" i="18"/>
  <c r="J243" i="60" l="1"/>
  <c r="I243" i="60"/>
  <c r="G243" i="60"/>
  <c r="H243" i="60" s="1"/>
  <c r="J244" i="60"/>
  <c r="I244" i="60"/>
  <c r="G244" i="60"/>
  <c r="H244" i="60" s="1"/>
  <c r="G125" i="18"/>
  <c r="X545" i="18" l="1"/>
  <c r="T70" i="18"/>
  <c r="T143" i="18"/>
  <c r="T69" i="18" l="1"/>
  <c r="X544" i="18"/>
  <c r="I46" i="63"/>
  <c r="H46" i="63"/>
  <c r="P22" i="18"/>
  <c r="N22" i="18" s="1"/>
  <c r="P21" i="18"/>
  <c r="N21" i="18" s="1"/>
  <c r="T68" i="18" l="1"/>
  <c r="X543" i="18" l="1"/>
  <c r="T142" i="18" l="1"/>
  <c r="T67" i="18" l="1"/>
  <c r="T141" i="18"/>
  <c r="T66" i="18" l="1"/>
  <c r="X542" i="18" l="1"/>
  <c r="AB102" i="18"/>
  <c r="T104" i="18"/>
  <c r="T103" i="18"/>
  <c r="S325" i="18"/>
  <c r="U172" i="18"/>
  <c r="U174" i="18"/>
  <c r="X541" i="18"/>
  <c r="X540" i="18"/>
  <c r="E99" i="63" l="1"/>
  <c r="X539" i="18"/>
  <c r="T65" i="18"/>
  <c r="S584" i="18" l="1"/>
  <c r="X538"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7"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6" i="18" l="1"/>
  <c r="T62" i="18"/>
  <c r="D176" i="58" l="1"/>
  <c r="P30" i="18" l="1"/>
  <c r="X535" i="18" l="1"/>
  <c r="T140" i="18"/>
  <c r="J170" i="60" l="1"/>
  <c r="H312" i="18" l="1"/>
  <c r="X534" i="18"/>
  <c r="T139" i="18"/>
  <c r="I24" i="63"/>
  <c r="I25" i="63"/>
  <c r="G25" i="63"/>
  <c r="H25" i="63"/>
  <c r="J25" i="63" l="1"/>
  <c r="K25" i="63" s="1"/>
  <c r="X533" i="18"/>
  <c r="H210" i="60" l="1"/>
  <c r="H211" i="60"/>
  <c r="H212" i="60"/>
  <c r="H213" i="60"/>
  <c r="H214" i="60"/>
  <c r="H215" i="60"/>
  <c r="H216" i="60"/>
  <c r="H217" i="60"/>
  <c r="H218" i="60"/>
  <c r="H219" i="60"/>
  <c r="H220" i="60"/>
  <c r="H221" i="60"/>
  <c r="H222" i="60"/>
  <c r="H223" i="60"/>
  <c r="H224" i="60"/>
  <c r="H225" i="60"/>
  <c r="H226" i="60"/>
  <c r="H227" i="60"/>
  <c r="H228" i="60"/>
  <c r="H229" i="60"/>
  <c r="H209" i="60"/>
  <c r="F210" i="60"/>
  <c r="F211" i="60"/>
  <c r="F212" i="60"/>
  <c r="F213" i="60"/>
  <c r="F214" i="60"/>
  <c r="F215" i="60"/>
  <c r="F216" i="60"/>
  <c r="F217" i="60"/>
  <c r="F218" i="60"/>
  <c r="F219" i="60"/>
  <c r="F220" i="60"/>
  <c r="F221" i="60"/>
  <c r="F222" i="60"/>
  <c r="F223" i="60"/>
  <c r="F224" i="60"/>
  <c r="F225" i="60"/>
  <c r="F226" i="60"/>
  <c r="F227" i="60"/>
  <c r="F228" i="60"/>
  <c r="F229" i="60"/>
  <c r="F209" i="60"/>
  <c r="D209" i="60"/>
  <c r="D210" i="60"/>
  <c r="D211" i="60"/>
  <c r="D212" i="60"/>
  <c r="D213" i="60"/>
  <c r="D214" i="60"/>
  <c r="D215" i="60"/>
  <c r="D216" i="60"/>
  <c r="D217" i="60"/>
  <c r="D218" i="60"/>
  <c r="D219" i="60"/>
  <c r="D220" i="60"/>
  <c r="D221" i="60"/>
  <c r="D222" i="60"/>
  <c r="D223" i="60"/>
  <c r="D224" i="60"/>
  <c r="D225" i="60"/>
  <c r="D226" i="60"/>
  <c r="D227" i="60"/>
  <c r="D228" i="60"/>
  <c r="D229" i="60"/>
  <c r="J229" i="60"/>
  <c r="J210" i="60"/>
  <c r="J211" i="60"/>
  <c r="J212" i="60"/>
  <c r="J213" i="60"/>
  <c r="J214" i="60"/>
  <c r="J215" i="60"/>
  <c r="J216" i="60"/>
  <c r="J217" i="60"/>
  <c r="J218" i="60"/>
  <c r="J219" i="60"/>
  <c r="J220" i="60"/>
  <c r="J221" i="60"/>
  <c r="J222" i="60"/>
  <c r="J223" i="60"/>
  <c r="J224" i="60"/>
  <c r="J225" i="60"/>
  <c r="J226" i="60"/>
  <c r="J227" i="60"/>
  <c r="J228" i="60"/>
  <c r="J209" i="60"/>
  <c r="H42" i="63"/>
  <c r="G42" i="63"/>
  <c r="J231" i="60" l="1"/>
  <c r="J233" i="60" s="1"/>
  <c r="J42" i="63"/>
  <c r="K42" i="63" s="1"/>
  <c r="F231" i="60"/>
  <c r="H231" i="60"/>
  <c r="D231" i="60"/>
  <c r="R172" i="60"/>
  <c r="S172" i="60" s="1"/>
  <c r="R171" i="60" l="1"/>
  <c r="R170" i="60" s="1"/>
  <c r="S170" i="60" s="1"/>
  <c r="H181" i="60"/>
  <c r="H182" i="60"/>
  <c r="H183" i="60"/>
  <c r="H184" i="60"/>
  <c r="H185" i="60"/>
  <c r="H186" i="60"/>
  <c r="H187" i="60"/>
  <c r="H188" i="60"/>
  <c r="H189" i="60"/>
  <c r="H190" i="60"/>
  <c r="H191" i="60"/>
  <c r="H192" i="60"/>
  <c r="H193" i="60"/>
  <c r="H194" i="60"/>
  <c r="H195" i="60"/>
  <c r="H196" i="60"/>
  <c r="H197" i="60"/>
  <c r="H198" i="60"/>
  <c r="H199" i="60"/>
  <c r="F191" i="60"/>
  <c r="F199" i="60"/>
  <c r="F181" i="60"/>
  <c r="F182" i="60"/>
  <c r="F183" i="60"/>
  <c r="F184" i="60"/>
  <c r="F185" i="60"/>
  <c r="F186" i="60"/>
  <c r="F187" i="60"/>
  <c r="F188" i="60"/>
  <c r="F189" i="60"/>
  <c r="F190" i="60"/>
  <c r="F192" i="60"/>
  <c r="F193" i="60"/>
  <c r="F194" i="60"/>
  <c r="F195" i="60"/>
  <c r="F196" i="60"/>
  <c r="F197" i="60"/>
  <c r="F198" i="60"/>
  <c r="F180" i="60"/>
  <c r="D191" i="60"/>
  <c r="H201" i="60" l="1"/>
  <c r="S171" i="60"/>
  <c r="R169" i="60"/>
  <c r="R168" i="60" s="1"/>
  <c r="X532" i="18"/>
  <c r="S169" i="60" l="1"/>
  <c r="S168" i="60"/>
  <c r="R167" i="60"/>
  <c r="L9" i="60"/>
  <c r="R166" i="60" l="1"/>
  <c r="S167" i="60"/>
  <c r="R165" i="60" l="1"/>
  <c r="S166" i="60"/>
  <c r="R164" i="60" l="1"/>
  <c r="S164" i="60" s="1"/>
  <c r="S165" i="60"/>
  <c r="K161" i="60" l="1"/>
  <c r="K162" i="60"/>
  <c r="K163" i="60"/>
  <c r="K164" i="60"/>
  <c r="L164" i="60" s="1"/>
  <c r="K165" i="60"/>
  <c r="K166" i="60"/>
  <c r="K167" i="60"/>
  <c r="K168" i="60"/>
  <c r="K169" i="60"/>
  <c r="K170" i="60"/>
  <c r="K171" i="60"/>
  <c r="K159" i="60"/>
  <c r="X531" i="18" l="1"/>
  <c r="T138" i="18"/>
  <c r="X530" i="18" l="1"/>
  <c r="T137" i="18"/>
  <c r="X529" i="18" l="1"/>
  <c r="T136" i="18"/>
  <c r="X528" i="18" l="1"/>
  <c r="D198" i="60" l="1"/>
  <c r="D197" i="60"/>
  <c r="D196" i="60"/>
  <c r="D195" i="60"/>
  <c r="D194" i="60"/>
  <c r="D193" i="60"/>
  <c r="D192" i="60"/>
  <c r="D180" i="60"/>
  <c r="J198" i="60" l="1"/>
  <c r="J197" i="60"/>
  <c r="J196" i="60"/>
  <c r="J195" i="60"/>
  <c r="J194" i="60"/>
  <c r="J193" i="60"/>
  <c r="J192" i="60"/>
  <c r="J181" i="60"/>
  <c r="J182" i="60"/>
  <c r="J183" i="60"/>
  <c r="J184" i="60"/>
  <c r="J185" i="60"/>
  <c r="J186" i="60"/>
  <c r="J187" i="60"/>
  <c r="J188" i="60"/>
  <c r="J189" i="60"/>
  <c r="J190" i="60"/>
  <c r="J191" i="60"/>
  <c r="J199" i="60"/>
  <c r="J180" i="60"/>
  <c r="D181" i="60"/>
  <c r="D182" i="60"/>
  <c r="D183" i="60"/>
  <c r="D184" i="60"/>
  <c r="D185" i="60"/>
  <c r="D186" i="60"/>
  <c r="D187" i="60"/>
  <c r="D188" i="60"/>
  <c r="D189" i="60"/>
  <c r="D190" i="60"/>
  <c r="D199" i="60"/>
  <c r="F159" i="60"/>
  <c r="H159" i="60"/>
  <c r="D160" i="60"/>
  <c r="D161" i="60"/>
  <c r="D162" i="60"/>
  <c r="D163" i="60"/>
  <c r="D164" i="60"/>
  <c r="D165" i="60"/>
  <c r="D166" i="60"/>
  <c r="D167" i="60"/>
  <c r="D168" i="60"/>
  <c r="D169" i="60"/>
  <c r="D170" i="60"/>
  <c r="D171" i="60"/>
  <c r="D159" i="60"/>
  <c r="L160" i="60"/>
  <c r="L161" i="60"/>
  <c r="L162" i="60"/>
  <c r="L163" i="60"/>
  <c r="L165" i="60"/>
  <c r="L166" i="60"/>
  <c r="L167" i="60"/>
  <c r="L168" i="60"/>
  <c r="L169" i="60"/>
  <c r="L170" i="60"/>
  <c r="L171" i="60"/>
  <c r="L172" i="60"/>
  <c r="L159" i="60"/>
  <c r="F201" i="60" l="1"/>
  <c r="J201" i="60"/>
  <c r="J203" i="60" s="1"/>
  <c r="D173" i="60"/>
  <c r="L173" i="60"/>
  <c r="L175" i="60" s="1"/>
  <c r="I35" i="63"/>
  <c r="T135" i="18" l="1"/>
  <c r="I34" i="63"/>
  <c r="G35" i="63"/>
  <c r="H35" i="63"/>
  <c r="O35" i="63"/>
  <c r="O43" i="63"/>
  <c r="N36" i="63" l="1"/>
  <c r="J35" i="63"/>
  <c r="K35" i="63" s="1"/>
  <c r="J169" i="60"/>
  <c r="H169" i="60"/>
  <c r="F169" i="60"/>
  <c r="T134" i="18" l="1"/>
  <c r="X527" i="18"/>
  <c r="I32" i="63"/>
  <c r="O32" i="63"/>
  <c r="I33" i="63"/>
  <c r="O33" i="63"/>
  <c r="O34" i="63"/>
  <c r="G34" i="63"/>
  <c r="H34" i="63"/>
  <c r="N35" i="63" s="1"/>
  <c r="G33" i="63"/>
  <c r="H33" i="63"/>
  <c r="N34" i="63" l="1"/>
  <c r="J34" i="63"/>
  <c r="K34" i="63" s="1"/>
  <c r="J33" i="63"/>
  <c r="K33" i="63" s="1"/>
  <c r="X526" i="18"/>
  <c r="X525" i="18" l="1"/>
  <c r="T133" i="18" l="1"/>
  <c r="G32" i="63"/>
  <c r="H32" i="63"/>
  <c r="I30" i="63"/>
  <c r="I31" i="63"/>
  <c r="G31" i="63"/>
  <c r="H31" i="63"/>
  <c r="O31" i="63"/>
  <c r="N32" i="63" l="1"/>
  <c r="N33" i="63"/>
  <c r="J32" i="63"/>
  <c r="K32" i="63" s="1"/>
  <c r="J31" i="63"/>
  <c r="K31" i="63" s="1"/>
  <c r="T61" i="18"/>
  <c r="O30" i="63"/>
  <c r="G30" i="63"/>
  <c r="H30" i="63"/>
  <c r="J30" i="63" l="1"/>
  <c r="K30" i="63" s="1"/>
  <c r="N31" i="63"/>
  <c r="X52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3"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U21" i="63"/>
  <c r="U22" i="63"/>
  <c r="S24" i="63"/>
  <c r="T24" i="63"/>
  <c r="U24" i="63"/>
  <c r="J47" i="63" l="1"/>
  <c r="K47" i="63" s="1"/>
  <c r="J46" i="63"/>
  <c r="K46" i="63" s="1"/>
  <c r="M64" i="63" l="1"/>
  <c r="M60" i="63"/>
  <c r="M61" i="63"/>
  <c r="H73" i="63" l="1"/>
  <c r="J2" i="60" l="1"/>
  <c r="X519" i="18" l="1"/>
  <c r="X514" i="18"/>
  <c r="X515" i="18"/>
  <c r="X516" i="18"/>
  <c r="X517" i="18"/>
  <c r="X518" i="18"/>
  <c r="X520" i="18"/>
  <c r="X521" i="18"/>
  <c r="X522" i="18"/>
  <c r="X546" i="18"/>
  <c r="X554" i="18"/>
  <c r="X555" i="18"/>
  <c r="P26" i="63"/>
  <c r="O26" i="63"/>
  <c r="O27" i="63"/>
  <c r="O28" i="63"/>
  <c r="X513" i="18" l="1"/>
  <c r="F19" i="60" l="1"/>
  <c r="F17" i="60"/>
  <c r="F16" i="60" l="1"/>
  <c r="M63" i="63"/>
  <c r="M62" i="63"/>
  <c r="F29" i="60"/>
  <c r="E6" i="60" l="1"/>
  <c r="L6" i="60" s="1"/>
  <c r="F3" i="60" l="1"/>
  <c r="F4" i="60"/>
  <c r="F2" i="60"/>
  <c r="H72" i="63" l="1"/>
  <c r="X512" i="18" l="1"/>
  <c r="H71" i="63"/>
  <c r="N45" i="63"/>
  <c r="M59" i="63" l="1"/>
  <c r="N50" i="18"/>
  <c r="I43" i="63"/>
  <c r="G43" i="63"/>
  <c r="H43" i="63"/>
  <c r="J43" i="63" l="1"/>
  <c r="K43" i="63" s="1"/>
  <c r="X511" i="18"/>
  <c r="X510" i="18"/>
  <c r="X50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8" i="18"/>
  <c r="H69" i="63"/>
  <c r="I23" i="63"/>
  <c r="G24" i="63"/>
  <c r="H24" i="63"/>
  <c r="N25" i="63" l="1"/>
  <c r="J24" i="63"/>
  <c r="K24" i="63" s="1"/>
  <c r="H166" i="60"/>
  <c r="H167" i="60"/>
  <c r="H168" i="60"/>
  <c r="H161" i="60"/>
  <c r="H170" i="60"/>
  <c r="H171" i="60"/>
  <c r="H162" i="60"/>
  <c r="H163" i="60"/>
  <c r="H164" i="60"/>
  <c r="H165" i="60"/>
  <c r="H160" i="60"/>
  <c r="F166" i="60"/>
  <c r="F167" i="60"/>
  <c r="F168" i="60"/>
  <c r="F161" i="60"/>
  <c r="F170" i="60"/>
  <c r="F171" i="60"/>
  <c r="F162" i="60"/>
  <c r="F163" i="60"/>
  <c r="F164" i="60"/>
  <c r="F165" i="60"/>
  <c r="F160" i="60"/>
  <c r="J171" i="60"/>
  <c r="J162" i="60"/>
  <c r="J159" i="60"/>
  <c r="J163" i="60"/>
  <c r="J164" i="60"/>
  <c r="J165" i="60"/>
  <c r="J160" i="60"/>
  <c r="J166" i="60"/>
  <c r="J167" i="60"/>
  <c r="J168" i="60"/>
  <c r="J161" i="60"/>
  <c r="J173" i="60" l="1"/>
  <c r="J175" i="60" s="1"/>
  <c r="H173" i="60"/>
  <c r="F173" i="60"/>
  <c r="I58" i="63"/>
  <c r="X507" i="18"/>
  <c r="X506" i="18" l="1"/>
  <c r="N55" i="18"/>
  <c r="N27" i="18"/>
  <c r="G29" i="63" l="1"/>
  <c r="H29" i="63"/>
  <c r="N30" i="63" s="1"/>
  <c r="G28" i="63"/>
  <c r="H28" i="63"/>
  <c r="N29" i="63" l="1"/>
  <c r="J29" i="63"/>
  <c r="K29" i="63" s="1"/>
  <c r="J28" i="63"/>
  <c r="K28" i="63" s="1"/>
  <c r="X505" i="18"/>
  <c r="I27" i="63"/>
  <c r="G27" i="63"/>
  <c r="H27" i="63"/>
  <c r="N28" i="63" s="1"/>
  <c r="J27" i="63" l="1"/>
  <c r="K27" i="63" s="1"/>
  <c r="X504"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3" i="18"/>
  <c r="X502" i="18" l="1"/>
  <c r="C141" i="60" l="1"/>
  <c r="C142" i="60" s="1"/>
  <c r="C143" i="60" s="1"/>
  <c r="C144" i="60" s="1"/>
  <c r="C145" i="60" s="1"/>
  <c r="C146" i="60" s="1"/>
  <c r="C147" i="60" s="1"/>
  <c r="C148" i="60" s="1"/>
  <c r="C149" i="60" s="1"/>
  <c r="C150" i="60" s="1"/>
  <c r="C151" i="60" s="1"/>
  <c r="C152" i="60" s="1"/>
  <c r="B141" i="60"/>
  <c r="B142" i="60" s="1"/>
  <c r="B143" i="60" s="1"/>
  <c r="B144" i="60" s="1"/>
  <c r="B145" i="60" s="1"/>
  <c r="B146" i="60" s="1"/>
  <c r="B147" i="60" s="1"/>
  <c r="B148" i="60" s="1"/>
  <c r="B149" i="60" s="1"/>
  <c r="B150" i="60" s="1"/>
  <c r="B151" i="60" s="1"/>
  <c r="B152" i="60" s="1"/>
  <c r="M145" i="18" l="1"/>
  <c r="L145" i="18"/>
  <c r="I125" i="18"/>
  <c r="P36" i="18"/>
  <c r="X501" i="18" l="1"/>
  <c r="X500" i="18" l="1"/>
  <c r="C134" i="60" l="1"/>
  <c r="C135" i="60" s="1"/>
  <c r="C133" i="60"/>
  <c r="C132"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9" i="18" l="1"/>
  <c r="X49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7" i="18"/>
  <c r="R161" i="60" l="1"/>
  <c r="S162" i="60"/>
  <c r="E125" i="60"/>
  <c r="E126" i="60"/>
  <c r="E127" i="60"/>
  <c r="E128" i="60"/>
  <c r="E129" i="60"/>
  <c r="E130" i="60"/>
  <c r="G125" i="60"/>
  <c r="G126" i="60"/>
  <c r="G127" i="60"/>
  <c r="G128" i="60"/>
  <c r="G129" i="60"/>
  <c r="G130" i="60"/>
  <c r="C127" i="60"/>
  <c r="C128" i="60"/>
  <c r="C129" i="60"/>
  <c r="C130" i="60"/>
  <c r="C131" i="60"/>
  <c r="G135" i="60"/>
  <c r="C126" i="60"/>
  <c r="G132" i="60"/>
  <c r="G133" i="60"/>
  <c r="G134" i="60"/>
  <c r="G131" i="60"/>
  <c r="S161" i="60" l="1"/>
  <c r="R160" i="60"/>
  <c r="X496" i="18"/>
  <c r="R159" i="60" l="1"/>
  <c r="S160" i="60"/>
  <c r="X495" i="18"/>
  <c r="X494" i="18"/>
  <c r="X493" i="18"/>
  <c r="S159" i="60" l="1"/>
  <c r="R158" i="60"/>
  <c r="X492"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91" i="18"/>
  <c r="R154" i="60" l="1"/>
  <c r="S155" i="60"/>
  <c r="X490" i="18"/>
  <c r="X489" i="18"/>
  <c r="S154" i="60" l="1"/>
  <c r="R153" i="60"/>
  <c r="E131" i="60"/>
  <c r="E133" i="60"/>
  <c r="E134" i="60"/>
  <c r="E135" i="60"/>
  <c r="E132" i="60"/>
  <c r="S153" i="60" l="1"/>
  <c r="R152" i="60"/>
  <c r="X48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4" i="18"/>
  <c r="S148" i="60" l="1"/>
  <c r="R147" i="60"/>
  <c r="X487" i="18"/>
  <c r="R146" i="60" l="1"/>
  <c r="S147" i="60"/>
  <c r="X486" i="18"/>
  <c r="N30" i="18"/>
  <c r="M79" i="18" s="1"/>
  <c r="N53" i="18"/>
  <c r="S146" i="60" l="1"/>
  <c r="R145" i="60"/>
  <c r="F114" i="60"/>
  <c r="D114" i="60"/>
  <c r="D120" i="60" s="1"/>
  <c r="S145" i="60" l="1"/>
  <c r="R144" i="60"/>
  <c r="I115" i="60"/>
  <c r="R143" i="60" l="1"/>
  <c r="S144" i="60"/>
  <c r="F115" i="60"/>
  <c r="I116" i="60" s="1"/>
  <c r="F116" i="60" s="1"/>
  <c r="I117" i="60" s="1"/>
  <c r="X484" i="18"/>
  <c r="S143" i="60" l="1"/>
  <c r="R142" i="60"/>
  <c r="F117" i="60"/>
  <c r="F120" i="60" s="1"/>
  <c r="S142" i="60" l="1"/>
  <c r="R141" i="60"/>
  <c r="AK489" i="18"/>
  <c r="R140" i="60" l="1"/>
  <c r="S141" i="60"/>
  <c r="S173" i="60" s="1"/>
  <c r="X483" i="18"/>
  <c r="X482" i="18"/>
  <c r="X481" i="18"/>
  <c r="X485" i="18"/>
  <c r="X480" i="18"/>
  <c r="X479" i="18"/>
  <c r="P32" i="18"/>
  <c r="N32" i="18" s="1"/>
  <c r="N54" i="18"/>
  <c r="X399" i="18"/>
  <c r="R139" i="60" l="1"/>
  <c r="S140" i="60"/>
  <c r="T118" i="18"/>
  <c r="R138" i="60" l="1"/>
  <c r="S139" i="60"/>
  <c r="M8" i="60"/>
  <c r="D2" i="60"/>
  <c r="R137" i="60" l="1"/>
  <c r="S138" i="60"/>
  <c r="X478" i="18"/>
  <c r="R136" i="60" l="1"/>
  <c r="S137" i="60"/>
  <c r="X477" i="18"/>
  <c r="X476" i="18"/>
  <c r="AM244" i="18"/>
  <c r="AM243" i="18" s="1"/>
  <c r="AM242" i="18" s="1"/>
  <c r="R135" i="60" l="1"/>
  <c r="S136" i="60"/>
  <c r="X475" i="18"/>
  <c r="R134" i="60" l="1"/>
  <c r="S135" i="60"/>
  <c r="X474" i="18"/>
  <c r="G21" i="63"/>
  <c r="H21" i="63"/>
  <c r="N22" i="63" s="1"/>
  <c r="R133" i="60" l="1"/>
  <c r="S134" i="60"/>
  <c r="J21" i="63"/>
  <c r="K21" i="63" s="1"/>
  <c r="G52" i="63"/>
  <c r="H52" i="63"/>
  <c r="J52" i="63" s="1"/>
  <c r="K52" i="63" s="1"/>
  <c r="S133" i="60" l="1"/>
  <c r="R132" i="60"/>
  <c r="R131" i="60" l="1"/>
  <c r="S132" i="60"/>
  <c r="X471" i="18"/>
  <c r="X472" i="18"/>
  <c r="X473" i="18"/>
  <c r="R130" i="60" l="1"/>
  <c r="S131" i="60"/>
  <c r="R129" i="60" l="1"/>
  <c r="S130" i="60"/>
  <c r="X470" i="18"/>
  <c r="S129" i="60" l="1"/>
  <c r="R128" i="60"/>
  <c r="G20" i="63"/>
  <c r="H20" i="63"/>
  <c r="S128" i="60" l="1"/>
  <c r="R127" i="60"/>
  <c r="J20" i="63"/>
  <c r="K20" i="63" s="1"/>
  <c r="N21" i="63"/>
  <c r="X469" i="18"/>
  <c r="R126" i="60" l="1"/>
  <c r="S127" i="60"/>
  <c r="X46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7" i="18"/>
  <c r="R119" i="60" l="1"/>
  <c r="S120" i="60"/>
  <c r="K39" i="63"/>
  <c r="N17" i="63"/>
  <c r="G14" i="63"/>
  <c r="H14" i="63"/>
  <c r="G15" i="63"/>
  <c r="H15" i="63"/>
  <c r="X466" i="18"/>
  <c r="G12" i="63"/>
  <c r="H12" i="63"/>
  <c r="G13" i="63"/>
  <c r="H13" i="63"/>
  <c r="S119" i="60" l="1"/>
  <c r="R118" i="60"/>
  <c r="N14" i="63"/>
  <c r="J14" i="63"/>
  <c r="K14" i="63" s="1"/>
  <c r="N15" i="63"/>
  <c r="J15" i="63"/>
  <c r="K15" i="63" s="1"/>
  <c r="N16" i="63"/>
  <c r="N13" i="63"/>
  <c r="J13" i="63"/>
  <c r="K13" i="63" s="1"/>
  <c r="J12" i="63"/>
  <c r="K12" i="63" s="1"/>
  <c r="X465" i="18"/>
  <c r="R117" i="60" l="1"/>
  <c r="S118" i="60"/>
  <c r="W176" i="18"/>
  <c r="U170" i="18" s="1"/>
  <c r="X464" i="18"/>
  <c r="G11" i="63"/>
  <c r="R116" i="60" l="1"/>
  <c r="S117" i="60"/>
  <c r="P35" i="18"/>
  <c r="G4" i="67" s="1"/>
  <c r="X463" i="18"/>
  <c r="R115" i="60" l="1"/>
  <c r="S116" i="60"/>
  <c r="H4" i="67"/>
  <c r="H10" i="67" s="1"/>
  <c r="G19" i="67"/>
  <c r="H19" i="67" s="1"/>
  <c r="H23" i="67" s="1"/>
  <c r="X462" i="18"/>
  <c r="S115" i="60" l="1"/>
  <c r="R114" i="60"/>
  <c r="E26" i="67"/>
  <c r="H1" i="63"/>
  <c r="S114" i="60" l="1"/>
  <c r="R113" i="60"/>
  <c r="J1" i="63"/>
  <c r="K1" i="63" s="1"/>
  <c r="P173" i="60"/>
  <c r="R112" i="60" l="1"/>
  <c r="S113" i="60"/>
  <c r="X459" i="18"/>
  <c r="R111" i="60" l="1"/>
  <c r="S112" i="60"/>
  <c r="X458"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7" i="18"/>
  <c r="R107" i="60" l="1"/>
  <c r="S108" i="60"/>
  <c r="J56" i="63"/>
  <c r="K56" i="63" s="1"/>
  <c r="K55" i="63"/>
  <c r="R106" i="60" l="1"/>
  <c r="S107" i="60"/>
  <c r="X456" i="18"/>
  <c r="G5" i="63"/>
  <c r="H5" i="63"/>
  <c r="G6" i="63"/>
  <c r="H6" i="63"/>
  <c r="G2" i="63"/>
  <c r="H2" i="63"/>
  <c r="G3" i="63"/>
  <c r="H3" i="63"/>
  <c r="S106" i="60" l="1"/>
  <c r="R105" i="60"/>
  <c r="J6" i="63"/>
  <c r="K6" i="63" s="1"/>
  <c r="N7" i="63"/>
  <c r="J2" i="63"/>
  <c r="K2" i="63" s="1"/>
  <c r="J3" i="63"/>
  <c r="K3" i="63" s="1"/>
  <c r="J5" i="63"/>
  <c r="K5" i="63" s="1"/>
  <c r="N6" i="63"/>
  <c r="N3" i="63"/>
  <c r="X455" i="18"/>
  <c r="R104" i="60" l="1"/>
  <c r="S105" i="60"/>
  <c r="X454" i="18"/>
  <c r="R103" i="60" l="1"/>
  <c r="S104" i="60"/>
  <c r="R102" i="60" l="1"/>
  <c r="S103" i="60"/>
  <c r="O473" i="52"/>
  <c r="J473" i="52"/>
  <c r="R101" i="60" l="1"/>
  <c r="S102" i="60"/>
  <c r="X449" i="18"/>
  <c r="X450" i="18"/>
  <c r="X451" i="18"/>
  <c r="X452" i="18"/>
  <c r="X453" i="18"/>
  <c r="X460" i="18"/>
  <c r="X461" i="18"/>
  <c r="AM488" i="18"/>
  <c r="AM487" i="18" s="1"/>
  <c r="O472" i="52"/>
  <c r="J472" i="52"/>
  <c r="S101" i="60" l="1"/>
  <c r="R100" i="60"/>
  <c r="AN487" i="18"/>
  <c r="AM486" i="18"/>
  <c r="AN488" i="18"/>
  <c r="S100" i="60" l="1"/>
  <c r="R99" i="60"/>
  <c r="AM485" i="18"/>
  <c r="AN486" i="18"/>
  <c r="AM471" i="18"/>
  <c r="X448" i="18"/>
  <c r="X447" i="18"/>
  <c r="X446" i="18"/>
  <c r="X445" i="18"/>
  <c r="X44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8" i="18"/>
  <c r="X439" i="18"/>
  <c r="X440" i="18"/>
  <c r="X441" i="18"/>
  <c r="X442" i="18"/>
  <c r="X443" i="18"/>
  <c r="R90" i="60" l="1"/>
  <c r="S91" i="60"/>
  <c r="AN476" i="18"/>
  <c r="AM475" i="18"/>
  <c r="AM462" i="18"/>
  <c r="AN462" i="18" s="1"/>
  <c r="AN463" i="18"/>
  <c r="O454" i="52"/>
  <c r="J454" i="52"/>
  <c r="S90" i="60" l="1"/>
  <c r="R89" i="60"/>
  <c r="AM474" i="18"/>
  <c r="AN475" i="18"/>
  <c r="X437" i="18"/>
  <c r="S89" i="60" l="1"/>
  <c r="R88" i="60"/>
  <c r="AM473" i="18"/>
  <c r="AN474" i="18"/>
  <c r="R87" i="60" l="1"/>
  <c r="S88" i="60"/>
  <c r="AN473" i="18"/>
  <c r="AM472" i="18"/>
  <c r="AN472" i="18" s="1"/>
  <c r="X436" i="18"/>
  <c r="X435" i="18"/>
  <c r="R86" i="60" l="1"/>
  <c r="S87" i="60"/>
  <c r="X434" i="18"/>
  <c r="X433" i="18"/>
  <c r="R85" i="60" l="1"/>
  <c r="S86" i="60"/>
  <c r="X432" i="18"/>
  <c r="S85" i="60" l="1"/>
  <c r="R84" i="60"/>
  <c r="X431" i="18"/>
  <c r="R83" i="60" l="1"/>
  <c r="S84" i="60"/>
  <c r="X430" i="18"/>
  <c r="S83" i="60" l="1"/>
  <c r="R82" i="60"/>
  <c r="X429" i="18"/>
  <c r="S82" i="60" l="1"/>
  <c r="R81" i="60"/>
  <c r="X428" i="18"/>
  <c r="S81" i="60" l="1"/>
  <c r="R80" i="60"/>
  <c r="X42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5" i="18"/>
  <c r="S78" i="60" l="1"/>
  <c r="R77" i="60"/>
  <c r="X424" i="18"/>
  <c r="S77" i="60" l="1"/>
  <c r="R76" i="60"/>
  <c r="X423" i="18"/>
  <c r="R75" i="60" l="1"/>
  <c r="S76" i="60"/>
  <c r="X422" i="18"/>
  <c r="R74" i="60" l="1"/>
  <c r="S75" i="60"/>
  <c r="X421" i="18"/>
  <c r="R73" i="60" l="1"/>
  <c r="S74" i="60"/>
  <c r="G1" i="63"/>
  <c r="R72" i="60" l="1"/>
  <c r="S73" i="60"/>
  <c r="N2" i="63"/>
  <c r="X420" i="18"/>
  <c r="R71" i="60" l="1"/>
  <c r="S72" i="60"/>
  <c r="X419" i="18"/>
  <c r="S71" i="60" l="1"/>
  <c r="R70" i="60"/>
  <c r="X418" i="18"/>
  <c r="R69" i="60" l="1"/>
  <c r="S70" i="60"/>
  <c r="X417" i="18"/>
  <c r="R68" i="60" l="1"/>
  <c r="S69" i="60"/>
  <c r="X416" i="18"/>
  <c r="S68" i="60" l="1"/>
  <c r="R67" i="60"/>
  <c r="X415" i="18"/>
  <c r="S67" i="60" l="1"/>
  <c r="R66" i="60"/>
  <c r="X414" i="18"/>
  <c r="R65" i="60" l="1"/>
  <c r="S66" i="60"/>
  <c r="X410" i="18"/>
  <c r="X413" i="18"/>
  <c r="R64" i="60" l="1"/>
  <c r="S65" i="60"/>
  <c r="X412" i="18"/>
  <c r="S64" i="60" l="1"/>
  <c r="R63" i="60"/>
  <c r="X411" i="18"/>
  <c r="S63" i="60" l="1"/>
  <c r="R62" i="60"/>
  <c r="X409" i="18"/>
  <c r="S62" i="60" l="1"/>
  <c r="R61" i="60"/>
  <c r="X408" i="18"/>
  <c r="S61" i="60" l="1"/>
  <c r="R60" i="60"/>
  <c r="X406" i="18"/>
  <c r="X405" i="18"/>
  <c r="X404" i="18"/>
  <c r="X401" i="18"/>
  <c r="X402" i="18"/>
  <c r="X403" i="18"/>
  <c r="X400" i="18"/>
  <c r="X407" i="18"/>
  <c r="R59" i="60" l="1"/>
  <c r="S60" i="60"/>
  <c r="X398" i="18"/>
  <c r="S59" i="60" l="1"/>
  <c r="R58" i="60"/>
  <c r="X397" i="18"/>
  <c r="S58" i="60" l="1"/>
  <c r="R57" i="60"/>
  <c r="X396" i="18"/>
  <c r="R56" i="60" l="1"/>
  <c r="S57" i="60"/>
  <c r="X395" i="18"/>
  <c r="R55" i="60" l="1"/>
  <c r="S56" i="60"/>
  <c r="X394" i="18"/>
  <c r="R54" i="60" l="1"/>
  <c r="S55" i="60"/>
  <c r="X393" i="18"/>
  <c r="X392"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90" i="18"/>
  <c r="S51" i="60" l="1"/>
  <c r="R50" i="60"/>
  <c r="X389" i="18"/>
  <c r="S50" i="60" l="1"/>
  <c r="R49" i="60"/>
  <c r="X388" i="18"/>
  <c r="S49" i="60" l="1"/>
  <c r="R48" i="60"/>
  <c r="X387" i="18"/>
  <c r="R47" i="60" l="1"/>
  <c r="S48" i="60"/>
  <c r="X386" i="18"/>
  <c r="X385" i="18"/>
  <c r="X384" i="18"/>
  <c r="X383" i="18"/>
  <c r="S47" i="60" l="1"/>
  <c r="R46" i="60"/>
  <c r="X382" i="18"/>
  <c r="S46" i="60" l="1"/>
  <c r="R45" i="60"/>
  <c r="X381"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80" i="18"/>
  <c r="S37" i="60" l="1"/>
  <c r="R36" i="60"/>
  <c r="AM241" i="18"/>
  <c r="AN242" i="18"/>
  <c r="S36" i="60" l="1"/>
  <c r="R35" i="60"/>
  <c r="AM240" i="18"/>
  <c r="AN241" i="18"/>
  <c r="X379" i="18"/>
  <c r="R34" i="60" l="1"/>
  <c r="S35" i="60"/>
  <c r="AM239" i="18"/>
  <c r="AN240" i="18"/>
  <c r="X378"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7" i="18"/>
  <c r="X376" i="18"/>
  <c r="X375" i="18"/>
  <c r="X374" i="18"/>
  <c r="X37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8" i="18"/>
  <c r="X369" i="18"/>
  <c r="X370" i="18"/>
  <c r="X371" i="18"/>
  <c r="X372" i="18"/>
  <c r="AM230" i="18" l="1"/>
  <c r="AN231" i="18"/>
  <c r="X367" i="18"/>
  <c r="AM229" i="18" l="1"/>
  <c r="AN230" i="18"/>
  <c r="X366" i="18"/>
  <c r="AM228" i="18" l="1"/>
  <c r="AN229" i="18"/>
  <c r="X36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4" i="18"/>
  <c r="P374" i="52" l="1"/>
  <c r="AM227" i="18"/>
  <c r="AN228" i="18"/>
  <c r="P375" i="52"/>
  <c r="P376" i="52"/>
  <c r="P368" i="52"/>
  <c r="P373" i="52"/>
  <c r="P372" i="52"/>
  <c r="P371" i="52"/>
  <c r="P370" i="52"/>
  <c r="P369" i="52"/>
  <c r="X363" i="18"/>
  <c r="AM226" i="18" l="1"/>
  <c r="AN227" i="18"/>
  <c r="AM225" i="18" l="1"/>
  <c r="AN226" i="18"/>
  <c r="AM224" i="18" l="1"/>
  <c r="AN225" i="18"/>
  <c r="AM223" i="18" l="1"/>
  <c r="AN224" i="18"/>
  <c r="X362"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1" i="18"/>
  <c r="AM217" i="18" l="1"/>
  <c r="AN218" i="18"/>
  <c r="AM458" i="18"/>
  <c r="AN459" i="18"/>
  <c r="X360" i="18"/>
  <c r="AM216" i="18" l="1"/>
  <c r="AN217" i="18"/>
  <c r="AN458" i="18"/>
  <c r="AM457" i="18"/>
  <c r="X359" i="18"/>
  <c r="AM215" i="18" l="1"/>
  <c r="AN216" i="18"/>
  <c r="AM456" i="18"/>
  <c r="AN457" i="18"/>
  <c r="M143" i="18"/>
  <c r="L143" i="18"/>
  <c r="X358" i="18"/>
  <c r="AM214" i="18" l="1"/>
  <c r="AN214" i="18" s="1"/>
  <c r="AN215" i="18"/>
  <c r="AN456" i="18"/>
  <c r="AM455" i="18"/>
  <c r="X357" i="18"/>
  <c r="AM454" i="18" l="1"/>
  <c r="AN455" i="18"/>
  <c r="X356"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5" i="18"/>
  <c r="AM448" i="18" l="1"/>
  <c r="AN449" i="18"/>
  <c r="X354" i="18"/>
  <c r="J347" i="52"/>
  <c r="AN448" i="18" l="1"/>
  <c r="AM447" i="18"/>
  <c r="L137" i="18"/>
  <c r="M137" i="18"/>
  <c r="M136" i="18"/>
  <c r="L136" i="18"/>
  <c r="X353" i="18"/>
  <c r="AN447" i="18" l="1"/>
  <c r="AM446" i="18"/>
  <c r="X352" i="18"/>
  <c r="AN446" i="18" l="1"/>
  <c r="AM445" i="18"/>
  <c r="AM444" i="18" l="1"/>
  <c r="AN445" i="18"/>
  <c r="AM443" i="18" l="1"/>
  <c r="AN444" i="18"/>
  <c r="X351" i="18" l="1"/>
  <c r="X350" i="18" l="1"/>
  <c r="X349" i="18" l="1"/>
  <c r="X348" i="18" l="1"/>
  <c r="N348" i="52"/>
  <c r="X34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8" i="18" l="1"/>
  <c r="X34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5" i="18"/>
  <c r="D418" i="15" l="1"/>
  <c r="F419" i="15"/>
  <c r="F418" i="15" l="1"/>
  <c r="D417" i="15"/>
  <c r="X344" i="18"/>
  <c r="O305" i="52"/>
  <c r="J305" i="52"/>
  <c r="D416" i="15" l="1"/>
  <c r="F417" i="15"/>
  <c r="D415" i="15" l="1"/>
  <c r="F416" i="15"/>
  <c r="X343" i="18"/>
  <c r="O302" i="52"/>
  <c r="F415" i="15" l="1"/>
  <c r="D414" i="15"/>
  <c r="D413" i="15" l="1"/>
  <c r="F414" i="15"/>
  <c r="D412" i="15" l="1"/>
  <c r="F413" i="15"/>
  <c r="X342" i="18"/>
  <c r="O301" i="52"/>
  <c r="F412" i="15" l="1"/>
  <c r="D411" i="15"/>
  <c r="D410" i="15" l="1"/>
  <c r="F411" i="15"/>
  <c r="X341" i="18"/>
  <c r="X340" i="18"/>
  <c r="J300" i="52"/>
  <c r="F410" i="15" l="1"/>
  <c r="D409" i="15"/>
  <c r="X339" i="18"/>
  <c r="O299" i="52"/>
  <c r="X338" i="18"/>
  <c r="X337" i="18"/>
  <c r="D408" i="15" l="1"/>
  <c r="F409" i="15"/>
  <c r="X336" i="18"/>
  <c r="X335" i="18"/>
  <c r="X334" i="18"/>
  <c r="N36" i="18"/>
  <c r="O298" i="52"/>
  <c r="D407" i="15" l="1"/>
  <c r="F408" i="15"/>
  <c r="J298" i="52"/>
  <c r="F407" i="15" l="1"/>
  <c r="D406" i="15"/>
  <c r="O297" i="52"/>
  <c r="X333" i="18"/>
  <c r="X332" i="18"/>
  <c r="X331" i="18"/>
  <c r="D405" i="15" l="1"/>
  <c r="F406" i="15"/>
  <c r="X330" i="18"/>
  <c r="J296" i="52"/>
  <c r="D404" i="15" l="1"/>
  <c r="F405" i="15"/>
  <c r="J295" i="52"/>
  <c r="F404" i="15" l="1"/>
  <c r="D403" i="15"/>
  <c r="X329"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5" i="18"/>
  <c r="D388" i="15" l="1"/>
  <c r="F389" i="15"/>
  <c r="J275" i="52"/>
  <c r="F388" i="15" l="1"/>
  <c r="D387" i="15"/>
  <c r="X324" i="18"/>
  <c r="D386" i="15" l="1"/>
  <c r="F387" i="15"/>
  <c r="J274" i="52"/>
  <c r="F386" i="15" l="1"/>
  <c r="D385" i="15"/>
  <c r="X32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2" i="18"/>
  <c r="X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9" i="18"/>
  <c r="X318" i="18"/>
  <c r="X317" i="18"/>
  <c r="D364" i="15" l="1"/>
  <c r="F365" i="15"/>
  <c r="O223" i="52"/>
  <c r="X316" i="18"/>
  <c r="F364" i="15" l="1"/>
  <c r="D363" i="15"/>
  <c r="J222" i="52"/>
  <c r="X315" i="18"/>
  <c r="D362" i="15" l="1"/>
  <c r="F363" i="15"/>
  <c r="X314" i="18"/>
  <c r="X313" i="18"/>
  <c r="D361" i="15" l="1"/>
  <c r="F362" i="15"/>
  <c r="O220" i="52"/>
  <c r="F361" i="15" l="1"/>
  <c r="D360" i="15"/>
  <c r="X312" i="18"/>
  <c r="X31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9" i="18"/>
  <c r="F348" i="15" l="1"/>
  <c r="D347" i="15"/>
  <c r="O210" i="52"/>
  <c r="D346" i="15" l="1"/>
  <c r="F347" i="15"/>
  <c r="J210" i="52"/>
  <c r="D345" i="15" l="1"/>
  <c r="F346" i="15"/>
  <c r="J209" i="52"/>
  <c r="O208" i="52"/>
  <c r="J208" i="52"/>
  <c r="D344" i="15" l="1"/>
  <c r="F345" i="15"/>
  <c r="X308" i="18"/>
  <c r="F344" i="15" l="1"/>
  <c r="D343" i="15"/>
  <c r="O207" i="52"/>
  <c r="J207" i="52"/>
  <c r="X307" i="18"/>
  <c r="D342" i="15" l="1"/>
  <c r="F343" i="15"/>
  <c r="X306" i="18"/>
  <c r="D341" i="15" l="1"/>
  <c r="F342" i="15"/>
  <c r="X305" i="18"/>
  <c r="D340" i="15" l="1"/>
  <c r="F341" i="15"/>
  <c r="O204" i="52"/>
  <c r="F340" i="15" l="1"/>
  <c r="D339" i="15"/>
  <c r="J203" i="52"/>
  <c r="X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3" i="18"/>
  <c r="X302" i="18"/>
  <c r="X301" i="18"/>
  <c r="J202" i="52"/>
  <c r="D336" i="15" l="1"/>
  <c r="F337" i="15"/>
  <c r="X300" i="18"/>
  <c r="J201" i="52"/>
  <c r="X299" i="18"/>
  <c r="F336" i="15" l="1"/>
  <c r="D335" i="15"/>
  <c r="J200" i="52"/>
  <c r="D334" i="15" l="1"/>
  <c r="F335" i="15"/>
  <c r="X29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7" i="18"/>
  <c r="F330" i="15" l="1"/>
  <c r="D329" i="15"/>
  <c r="D328" i="15" l="1"/>
  <c r="F329" i="15"/>
  <c r="X296" i="18"/>
  <c r="D327" i="15" l="1"/>
  <c r="F328" i="15"/>
  <c r="AM213" i="18" l="1"/>
  <c r="F327" i="15"/>
  <c r="D326" i="15"/>
  <c r="AM212" i="18" l="1"/>
  <c r="AN213" i="18"/>
  <c r="F326" i="15"/>
  <c r="D325" i="15"/>
  <c r="J195" i="52"/>
  <c r="O195" i="52"/>
  <c r="J194" i="52"/>
  <c r="X295" i="18"/>
  <c r="AM211" i="18" l="1"/>
  <c r="AN212" i="18"/>
  <c r="F325" i="15"/>
  <c r="D324" i="15"/>
  <c r="N194" i="52"/>
  <c r="X294" i="18"/>
  <c r="X293" i="18"/>
  <c r="AM210" i="18" l="1"/>
  <c r="AN211" i="18"/>
  <c r="F324" i="15"/>
  <c r="D323" i="15"/>
  <c r="X292" i="18"/>
  <c r="AN210" i="18" l="1"/>
  <c r="AM209" i="18"/>
  <c r="F323" i="15"/>
  <c r="D322" i="15"/>
  <c r="S167" i="18"/>
  <c r="T167" i="18" s="1"/>
  <c r="AM208" i="18" l="1"/>
  <c r="AN209" i="18"/>
  <c r="F322" i="15"/>
  <c r="D321" i="15"/>
  <c r="X291" i="18"/>
  <c r="AN208" i="18" l="1"/>
  <c r="AM207" i="18"/>
  <c r="F321" i="15"/>
  <c r="D320" i="15"/>
  <c r="X290" i="18"/>
  <c r="O190" i="52"/>
  <c r="J190" i="52"/>
  <c r="AM206" i="18" l="1"/>
  <c r="AN207" i="18"/>
  <c r="F320" i="15"/>
  <c r="D319" i="15"/>
  <c r="X289" i="18"/>
  <c r="AN206" i="18" l="1"/>
  <c r="AM205" i="18"/>
  <c r="F319" i="15"/>
  <c r="D318" i="15"/>
  <c r="N57" i="18"/>
  <c r="N49" i="18"/>
  <c r="M76" i="18" l="1"/>
  <c r="AN205" i="18"/>
  <c r="AM204" i="18"/>
  <c r="F318" i="15"/>
  <c r="D317" i="15"/>
  <c r="O187" i="52"/>
  <c r="X288" i="18"/>
  <c r="AN204" i="18" l="1"/>
  <c r="AM203" i="18"/>
  <c r="F317" i="15"/>
  <c r="D316" i="15"/>
  <c r="J186" i="52"/>
  <c r="X287" i="18"/>
  <c r="X275" i="18"/>
  <c r="X274" i="18"/>
  <c r="AN203" i="18" l="1"/>
  <c r="AM202" i="18"/>
  <c r="F316" i="15"/>
  <c r="D315" i="15"/>
  <c r="J185" i="52"/>
  <c r="X286" i="18"/>
  <c r="AN202" i="18" l="1"/>
  <c r="AM201" i="18"/>
  <c r="F315" i="15"/>
  <c r="D314" i="15"/>
  <c r="AM200" i="18" l="1"/>
  <c r="AN201" i="18"/>
  <c r="F314" i="15"/>
  <c r="D313" i="15"/>
  <c r="AM199" i="18" l="1"/>
  <c r="AN200" i="18"/>
  <c r="F313" i="15"/>
  <c r="D312" i="15"/>
  <c r="N181" i="52"/>
  <c r="AM198" i="18" l="1"/>
  <c r="AN199" i="18"/>
  <c r="F312" i="15"/>
  <c r="D311" i="15"/>
  <c r="X285" i="18"/>
  <c r="B8" i="36"/>
  <c r="AM197" i="18" l="1"/>
  <c r="AN198" i="18"/>
  <c r="F311" i="15"/>
  <c r="D310" i="15"/>
  <c r="O178" i="52"/>
  <c r="J178" i="52"/>
  <c r="AN197" i="18" l="1"/>
  <c r="AM196" i="18"/>
  <c r="F310" i="15"/>
  <c r="D309" i="15"/>
  <c r="N52" i="18"/>
  <c r="X284" i="18"/>
  <c r="O177" i="52"/>
  <c r="J177" i="52"/>
  <c r="G126" i="18" l="1"/>
  <c r="G127" i="18" s="1"/>
  <c r="M77" i="18"/>
  <c r="AN196" i="18"/>
  <c r="AM195" i="18"/>
  <c r="F309" i="15"/>
  <c r="D308" i="15"/>
  <c r="O176" i="52"/>
  <c r="J176" i="52"/>
  <c r="AN195" i="18" l="1"/>
  <c r="AM194" i="18"/>
  <c r="F308" i="15"/>
  <c r="D307" i="15"/>
  <c r="F307" i="15" s="1"/>
  <c r="AN194" i="18" l="1"/>
  <c r="AM193" i="18"/>
  <c r="J174" i="52"/>
  <c r="X283" i="18"/>
  <c r="AN193" i="18" l="1"/>
  <c r="AM192" i="18"/>
  <c r="J168" i="52"/>
  <c r="O168" i="52"/>
  <c r="X282" i="18"/>
  <c r="AN192" i="18" l="1"/>
  <c r="AM191" i="18"/>
  <c r="AN191" i="18" s="1"/>
  <c r="O167" i="52"/>
  <c r="X281" i="18"/>
  <c r="O166" i="52" l="1"/>
  <c r="X280" i="18"/>
  <c r="X279" i="18" l="1"/>
  <c r="O165" i="52"/>
  <c r="J165" i="52"/>
  <c r="AM442" i="18" l="1"/>
  <c r="AN443" i="18"/>
  <c r="O162" i="52"/>
  <c r="J162" i="52"/>
  <c r="X27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7" i="18"/>
  <c r="AM438" i="18" l="1"/>
  <c r="AN439" i="18"/>
  <c r="X276" i="18"/>
  <c r="AN438" i="18" l="1"/>
  <c r="AM437" i="18"/>
  <c r="AM190" i="18"/>
  <c r="AM436" i="18" l="1"/>
  <c r="AN437" i="18"/>
  <c r="AM189" i="18"/>
  <c r="AN190" i="18"/>
  <c r="N159" i="52"/>
  <c r="P160" i="52" s="1"/>
  <c r="X27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2" i="18"/>
  <c r="X271" i="18"/>
  <c r="O150" i="52"/>
  <c r="AM431" i="18" l="1"/>
  <c r="AN432" i="18"/>
  <c r="AN185" i="18"/>
  <c r="AM184" i="18"/>
  <c r="AM430" i="18" l="1"/>
  <c r="AN431" i="18"/>
  <c r="AM183" i="18"/>
  <c r="AN184" i="18"/>
  <c r="Q146" i="52"/>
  <c r="J146" i="52"/>
  <c r="X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9" i="18"/>
  <c r="AN428" i="18" l="1"/>
  <c r="AM427" i="18"/>
  <c r="AN181" i="18"/>
  <c r="AM180" i="18"/>
  <c r="X268" i="18"/>
  <c r="AM426" i="18" l="1"/>
  <c r="AN427" i="18"/>
  <c r="AN180" i="18"/>
  <c r="AM179" i="18"/>
  <c r="O142" i="52"/>
  <c r="J142" i="52"/>
  <c r="X267" i="18"/>
  <c r="AM425" i="18" l="1"/>
  <c r="AN426" i="18"/>
  <c r="AN179" i="18"/>
  <c r="AM178" i="18"/>
  <c r="AN178" i="18" s="1"/>
  <c r="O140" i="52"/>
  <c r="J140" i="52"/>
  <c r="X266" i="18"/>
  <c r="AN425" i="18" l="1"/>
  <c r="AM424" i="18"/>
  <c r="X265" i="18"/>
  <c r="X264" i="18"/>
  <c r="O139" i="52"/>
  <c r="J139" i="52"/>
  <c r="AN424" i="18" l="1"/>
  <c r="AM423" i="18"/>
  <c r="X263" i="18"/>
  <c r="AN423" i="18" l="1"/>
  <c r="AM422" i="18"/>
  <c r="AN422" i="18" l="1"/>
  <c r="AM421" i="18"/>
  <c r="M41" i="52"/>
  <c r="AN421" i="18" l="1"/>
  <c r="AM420" i="18"/>
  <c r="O135" i="52"/>
  <c r="J135" i="52"/>
  <c r="AN420" i="18" l="1"/>
  <c r="AM419" i="18"/>
  <c r="AM418" i="18" l="1"/>
  <c r="AN419" i="18"/>
  <c r="X262" i="18"/>
  <c r="AM417" i="18" l="1"/>
  <c r="AN418" i="18"/>
  <c r="O132" i="52"/>
  <c r="X261" i="18"/>
  <c r="AN417" i="18" l="1"/>
  <c r="AM416" i="18"/>
  <c r="O131" i="52"/>
  <c r="J3" i="60"/>
  <c r="J4" i="60"/>
  <c r="O8" i="60"/>
  <c r="AM415" i="18" l="1"/>
  <c r="AN416" i="18"/>
  <c r="O130" i="52"/>
  <c r="O129" i="52"/>
  <c r="X260" i="18"/>
  <c r="X259" i="18"/>
  <c r="AM414" i="18" l="1"/>
  <c r="AN415" i="18"/>
  <c r="N129" i="52"/>
  <c r="AM413" i="18" l="1"/>
  <c r="AN414" i="18"/>
  <c r="O127" i="52"/>
  <c r="AM412" i="18" l="1"/>
  <c r="AN413" i="18"/>
  <c r="J126" i="52"/>
  <c r="O126" i="52"/>
  <c r="X258" i="18"/>
  <c r="AN412" i="18" l="1"/>
  <c r="AM411" i="18"/>
  <c r="O125" i="52"/>
  <c r="J125" i="52"/>
  <c r="AN411" i="18" l="1"/>
  <c r="AM410" i="18"/>
  <c r="X25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5" i="18"/>
  <c r="AN407" i="18" l="1"/>
  <c r="AM406" i="18"/>
  <c r="AN406" i="18" l="1"/>
  <c r="AM405" i="18"/>
  <c r="O121" i="52"/>
  <c r="J121" i="52"/>
  <c r="X254" i="18"/>
  <c r="AM404" i="18" l="1"/>
  <c r="AN405" i="18"/>
  <c r="X253" i="18"/>
  <c r="J120" i="52"/>
  <c r="AN404" i="18" l="1"/>
  <c r="AM403" i="18"/>
  <c r="AM402" i="18" l="1"/>
  <c r="AN403" i="18"/>
  <c r="O117" i="52"/>
  <c r="AN402" i="18" l="1"/>
  <c r="AM401" i="18"/>
  <c r="O116" i="52"/>
  <c r="N116" i="52"/>
  <c r="AN401" i="18" l="1"/>
  <c r="AM400" i="18"/>
  <c r="X25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1" i="18"/>
  <c r="J108" i="52"/>
  <c r="AN392" i="18" l="1"/>
  <c r="AM391" i="18"/>
  <c r="D303" i="15"/>
  <c r="F303" i="15" s="1"/>
  <c r="X250" i="18"/>
  <c r="X249" i="18"/>
  <c r="AN391" i="18" l="1"/>
  <c r="AM390" i="18"/>
  <c r="D302" i="15"/>
  <c r="F302" i="15" s="1"/>
  <c r="O106" i="52"/>
  <c r="J106" i="52"/>
  <c r="AM389" i="18" l="1"/>
  <c r="AN390" i="18"/>
  <c r="D301" i="15"/>
  <c r="F301" i="15" s="1"/>
  <c r="J104" i="52"/>
  <c r="E276" i="15"/>
  <c r="E277" i="15"/>
  <c r="E278" i="15"/>
  <c r="E279" i="15"/>
  <c r="E280" i="15"/>
  <c r="AM388" i="18" l="1"/>
  <c r="AN389" i="18"/>
  <c r="D300" i="15"/>
  <c r="F300" i="15" s="1"/>
  <c r="X248" i="18"/>
  <c r="AM387" i="18" l="1"/>
  <c r="AN388" i="18"/>
  <c r="D299" i="15"/>
  <c r="F299" i="15" s="1"/>
  <c r="C6" i="60"/>
  <c r="K6" i="60" s="1"/>
  <c r="N3" i="60"/>
  <c r="F9" i="60" s="1"/>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7" i="18"/>
  <c r="F23" i="60" l="1"/>
  <c r="D23" i="60"/>
  <c r="H23" i="60"/>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72" i="18"/>
  <c r="X245" i="18"/>
  <c r="X244" i="18"/>
  <c r="X243" i="18"/>
  <c r="M48" i="52"/>
  <c r="M47" i="52"/>
  <c r="N38" i="52"/>
  <c r="N37" i="52"/>
  <c r="M49" i="52"/>
  <c r="N50" i="52" s="1"/>
  <c r="AM375" i="18" l="1"/>
  <c r="AN376" i="18"/>
  <c r="D287" i="15"/>
  <c r="F287" i="15" s="1"/>
  <c r="N49" i="52"/>
  <c r="X242" i="18"/>
  <c r="AN375" i="18" l="1"/>
  <c r="AM374" i="18"/>
  <c r="D286" i="15"/>
  <c r="F286" i="15" s="1"/>
  <c r="AM373" i="18" l="1"/>
  <c r="AN374" i="18"/>
  <c r="D285" i="15"/>
  <c r="F285" i="15" s="1"/>
  <c r="X241"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40" i="18"/>
  <c r="AN371" i="18" l="1"/>
  <c r="AM370" i="18"/>
  <c r="D282" i="15"/>
  <c r="F282" i="15" s="1"/>
  <c r="G32" i="57"/>
  <c r="H32" i="57"/>
  <c r="D32" i="57"/>
  <c r="I32" i="57" s="1"/>
  <c r="D345" i="20"/>
  <c r="X239" i="18"/>
  <c r="X23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7" i="18"/>
  <c r="D343" i="20"/>
  <c r="AM366" i="18" l="1"/>
  <c r="AN367" i="18"/>
  <c r="D278" i="15"/>
  <c r="F278" i="15" s="1"/>
  <c r="X236" i="18"/>
  <c r="D342" i="20"/>
  <c r="J83" i="52"/>
  <c r="O83" i="52"/>
  <c r="X235" i="18"/>
  <c r="X234" i="18"/>
  <c r="F44" i="14"/>
  <c r="F45" i="14"/>
  <c r="F46" i="14"/>
  <c r="F47" i="14"/>
  <c r="F48" i="14"/>
  <c r="F49" i="14"/>
  <c r="F50" i="14"/>
  <c r="D341" i="20"/>
  <c r="AM365" i="18" l="1"/>
  <c r="AN366" i="18"/>
  <c r="D277" i="15"/>
  <c r="F277" i="15" s="1"/>
  <c r="AN365" i="18" l="1"/>
  <c r="AM364" i="18"/>
  <c r="D276" i="15"/>
  <c r="F276" i="15" s="1"/>
  <c r="X233" i="18"/>
  <c r="AM363" i="18" l="1"/>
  <c r="AN364" i="18"/>
  <c r="D340" i="20"/>
  <c r="X232" i="18"/>
  <c r="H337" i="20"/>
  <c r="H338" i="20"/>
  <c r="H339" i="20"/>
  <c r="H340" i="20"/>
  <c r="H341" i="20"/>
  <c r="H368" i="20"/>
  <c r="H369" i="20"/>
  <c r="D339" i="20"/>
  <c r="AM362" i="18" l="1"/>
  <c r="AN363" i="18"/>
  <c r="B371" i="20"/>
  <c r="D332" i="20"/>
  <c r="D333" i="20"/>
  <c r="D334" i="20"/>
  <c r="D335" i="20"/>
  <c r="D336" i="20"/>
  <c r="D337" i="20"/>
  <c r="D338" i="20"/>
  <c r="D369" i="20"/>
  <c r="AM361" i="18" l="1"/>
  <c r="AN362" i="18"/>
  <c r="X231" i="18"/>
  <c r="D80" i="57"/>
  <c r="AM360" i="18" l="1"/>
  <c r="AN361" i="18"/>
  <c r="G46" i="10"/>
  <c r="AM359" i="18" l="1"/>
  <c r="AN360" i="18"/>
  <c r="D331" i="20"/>
  <c r="AM358" i="18" l="1"/>
  <c r="AN359" i="18"/>
  <c r="D330" i="20"/>
  <c r="AM357" i="18" l="1"/>
  <c r="AN358" i="18"/>
  <c r="X230" i="18"/>
  <c r="X22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8" i="18"/>
  <c r="X227" i="18"/>
  <c r="AM345" i="18" l="1"/>
  <c r="AN346" i="18"/>
  <c r="S19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6" i="18"/>
  <c r="X225" i="18"/>
  <c r="N36" i="52"/>
  <c r="N35" i="52"/>
  <c r="Q42" i="52"/>
  <c r="AM343" i="18" l="1"/>
  <c r="AN344" i="18"/>
  <c r="X224" i="18"/>
  <c r="X22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2" i="18"/>
  <c r="X221" i="18"/>
  <c r="N32" i="52"/>
  <c r="N31" i="52"/>
  <c r="AM338" i="18" l="1"/>
  <c r="AN338" i="18" s="1"/>
  <c r="AN339" i="18"/>
  <c r="X220" i="18"/>
  <c r="X219" i="18"/>
  <c r="N30" i="52"/>
  <c r="N29" i="52"/>
  <c r="X218" i="18" l="1"/>
  <c r="X217" i="18"/>
  <c r="N28" i="52"/>
  <c r="N27" i="52"/>
  <c r="AM337" i="18" l="1"/>
  <c r="D313" i="20"/>
  <c r="AM336" i="18" l="1"/>
  <c r="AN337" i="18"/>
  <c r="L83" i="18"/>
  <c r="L79" i="18" l="1"/>
  <c r="N79" i="18" s="1"/>
  <c r="L80" i="18"/>
  <c r="N80" i="18" s="1"/>
  <c r="L78" i="18"/>
  <c r="N78" i="18" s="1"/>
  <c r="M83" i="18"/>
  <c r="AN336" i="18"/>
  <c r="AM335" i="18"/>
  <c r="L75" i="18"/>
  <c r="X216" i="18"/>
  <c r="X215"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4" i="18"/>
  <c r="X213" i="18"/>
  <c r="N23" i="52"/>
  <c r="N22" i="52"/>
  <c r="I368" i="20" l="1"/>
  <c r="G367" i="20"/>
  <c r="J368" i="20"/>
  <c r="K368" i="20"/>
  <c r="AM332" i="18"/>
  <c r="AN333" i="18"/>
  <c r="X212" i="18"/>
  <c r="X21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10" i="18"/>
  <c r="X209"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8" i="18"/>
  <c r="X207" i="18"/>
  <c r="N17" i="52"/>
  <c r="N16" i="52"/>
  <c r="AM170" i="18" l="1"/>
  <c r="AN171" i="18"/>
  <c r="I356" i="20"/>
  <c r="G355" i="20"/>
  <c r="J356" i="20"/>
  <c r="K356" i="20"/>
  <c r="L76" i="18"/>
  <c r="AM169" i="18" l="1"/>
  <c r="AM168" i="18" s="1"/>
  <c r="AN170" i="18"/>
  <c r="J355" i="20"/>
  <c r="I355" i="20"/>
  <c r="G354" i="20"/>
  <c r="K355" i="20"/>
  <c r="X206" i="18"/>
  <c r="X205" i="18"/>
  <c r="D303" i="20"/>
  <c r="D302" i="20"/>
  <c r="X20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2" i="18"/>
  <c r="AM163" i="18" l="1"/>
  <c r="AN164" i="18"/>
  <c r="I350" i="20"/>
  <c r="J350" i="20"/>
  <c r="K350" i="20"/>
  <c r="G349" i="20"/>
  <c r="D296" i="20"/>
  <c r="D295" i="20"/>
  <c r="AN163" i="18" l="1"/>
  <c r="AM162" i="18"/>
  <c r="K349" i="20"/>
  <c r="I349" i="20"/>
  <c r="J349" i="20"/>
  <c r="G348" i="20"/>
  <c r="X201" i="18"/>
  <c r="X20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9" i="18"/>
  <c r="X198" i="18"/>
  <c r="AN161" i="18" l="1"/>
  <c r="AM160" i="18"/>
  <c r="G346" i="20"/>
  <c r="J347" i="20"/>
  <c r="I347" i="20"/>
  <c r="K347" i="20"/>
  <c r="D293" i="20"/>
  <c r="AM159" i="18" l="1"/>
  <c r="AN160" i="18"/>
  <c r="K346" i="20"/>
  <c r="G345" i="20"/>
  <c r="J346" i="20"/>
  <c r="I346" i="20"/>
  <c r="X197" i="18"/>
  <c r="AN159" i="18" l="1"/>
  <c r="AM158" i="18"/>
  <c r="K345" i="20"/>
  <c r="G344" i="20"/>
  <c r="J345" i="20"/>
  <c r="I345" i="20"/>
  <c r="D292" i="20"/>
  <c r="C8" i="36"/>
  <c r="X19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2" i="18"/>
  <c r="AN124" i="18" l="1"/>
  <c r="AM123" i="18"/>
  <c r="AN123" i="18" l="1"/>
  <c r="AM122" i="18"/>
  <c r="AM121" i="18" l="1"/>
  <c r="AN122" i="18"/>
  <c r="X186" i="18"/>
  <c r="X187" i="18"/>
  <c r="X188" i="18"/>
  <c r="X189" i="18"/>
  <c r="X190" i="18"/>
  <c r="X191" i="18"/>
  <c r="X203" i="18"/>
  <c r="X185" i="18"/>
  <c r="AN121" i="18" l="1"/>
  <c r="AM120" i="18"/>
  <c r="N56" i="18"/>
  <c r="AN120" i="18" l="1"/>
  <c r="AM119" i="18"/>
  <c r="AN119" i="18" l="1"/>
  <c r="AM118" i="18"/>
  <c r="T86" i="18"/>
  <c r="T87" i="18" s="1"/>
  <c r="S191" i="18"/>
  <c r="S189" i="18"/>
  <c r="D57" i="51"/>
  <c r="T88" i="18" l="1"/>
  <c r="T89" i="18" s="1"/>
  <c r="T90" i="18" s="1"/>
  <c r="AM117" i="18"/>
  <c r="AN118" i="18"/>
  <c r="AN117" i="18" l="1"/>
  <c r="AM116" i="18"/>
  <c r="T91" i="18"/>
  <c r="T92" i="18" s="1"/>
  <c r="N35" i="18"/>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201" i="18"/>
  <c r="U559" i="18" s="1"/>
  <c r="X172" i="18" s="1"/>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62" i="18"/>
  <c r="Q29" i="18"/>
  <c r="Q36" i="18"/>
  <c r="Q35" i="18"/>
  <c r="Q28" i="18"/>
  <c r="Q49" i="18"/>
  <c r="V572" i="18"/>
  <c r="W572"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61" i="18"/>
  <c r="W152" i="18"/>
  <c r="W160"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1" i="18"/>
  <c r="X173"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60" i="18"/>
  <c r="Y160" i="18"/>
  <c r="X161" i="18"/>
  <c r="Y161"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7"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70" i="18"/>
  <c r="Y87" i="18"/>
  <c r="X87" i="18"/>
  <c r="X22" i="18"/>
  <c r="Y22" i="18"/>
  <c r="X20" i="18"/>
  <c r="Y20" i="18"/>
  <c r="X117" i="18"/>
  <c r="Y117" i="18"/>
  <c r="X21" i="18"/>
  <c r="Y21" i="18"/>
  <c r="AM71" i="18"/>
  <c r="AN72" i="18"/>
  <c r="X176" i="18" l="1"/>
  <c r="Y170" i="18" s="1"/>
  <c r="X178" i="18"/>
  <c r="X179" i="18" s="1"/>
  <c r="L34" i="18" s="1"/>
  <c r="N64" i="18"/>
  <c r="I128" i="18"/>
  <c r="I129" i="18"/>
  <c r="G129" i="18"/>
  <c r="G301" i="20"/>
  <c r="I302" i="20"/>
  <c r="K302" i="20"/>
  <c r="J302" i="20"/>
  <c r="AM70" i="18"/>
  <c r="AN71" i="18"/>
  <c r="Y173" i="18" l="1"/>
  <c r="Y171" i="18"/>
  <c r="Y17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<sst xmlns="http://schemas.openxmlformats.org/spreadsheetml/2006/main" count="17112" uniqueCount="7153">
  <si>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</si>
  <si>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</si>
  <si>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</si>
  <si>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</si>
  <si>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</si>
  <si>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</si>
  <si>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</si>
  <si>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</si>
  <si>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</si>
  <si>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</si>
  <si>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</si>
  <si>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</si>
  <si>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</si>
  <si>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</si>
  <si>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</si>
  <si>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</si>
  <si>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</si>
  <si>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</si>
  <si>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</si>
  <si>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</si>
  <si>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</si>
  <si>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</si>
  <si>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</si>
  <si>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</si>
  <si>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</si>
  <si>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</si>
  <si>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</si>
  <si>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</si>
  <si>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</si>
  <si>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</si>
  <si>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</si>
  <si>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</si>
  <si>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</si>
  <si>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</si>
  <si>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</si>
  <si>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</si>
  <si>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</si>
  <si>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</si>
  <si>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</si>
  <si>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</si>
  <si>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</si>
  <si>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</si>
  <si>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</si>
  <si>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</si>
  <si>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</si>
  <si>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</si>
  <si>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</si>
  <si>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</si>
  <si>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</si>
  <si>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</si>
  <si>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</si>
  <si>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</si>
  <si>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</si>
  <si>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</si>
  <si>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</si>
  <si>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</si>
  <si>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</si>
  <si>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</si>
  <si>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</si>
  <si>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</si>
  <si>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</si>
  <si>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</si>
  <si>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</si>
  <si>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</si>
  <si>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</si>
  <si>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</si>
  <si>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</si>
  <si>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</si>
  <si>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</si>
  <si>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</si>
  <si>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</si>
  <si>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</si>
  <si>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</si>
  <si>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</si>
  <si>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</si>
  <si>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</si>
  <si>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</si>
  <si>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</si>
  <si>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</si>
  <si>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</si>
  <si>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</si>
  <si>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</si>
  <si>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</si>
  <si>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</si>
  <si>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</si>
  <si>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</si>
  <si>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</si>
  <si>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</si>
  <si>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</si>
  <si>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</si>
  <si>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</si>
  <si>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</si>
  <si>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</si>
  <si>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</si>
  <si>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</si>
  <si>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</si>
  <si>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</si>
  <si>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</si>
  <si>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</si>
  <si>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</si>
  <si>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</si>
  <si>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</si>
  <si>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</si>
  <si>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</si>
  <si>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</si>
  <si>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</si>
  <si>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</si>
  <si>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</si>
  <si>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</si>
  <si>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</si>
  <si>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</si>
  <si>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</si>
  <si>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</si>
  <si>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</si>
  <si>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</si>
  <si>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</si>
  <si>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</si>
  <si>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</si>
  <si>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</si>
  <si>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</si>
  <si>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</si>
  <si>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</si>
  <si>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</si>
  <si>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</si>
  <si>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</si>
  <si>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</si>
  <si>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</si>
  <si>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</si>
  <si>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</si>
  <si>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</si>
  <si>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</si>
  <si>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</si>
  <si>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</si>
  <si>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</si>
  <si>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</si>
  <si>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</si>
  <si>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</si>
  <si>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</si>
  <si>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</si>
  <si>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</si>
  <si>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</si>
  <si>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</si>
  <si>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</si>
  <si>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</si>
  <si>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</si>
  <si>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</si>
  <si>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</si>
  <si>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</si>
  <si>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</si>
  <si>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</si>
  <si>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</si>
  <si>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</si>
  <si>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</si>
  <si>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</si>
  <si>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</si>
  <si>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</si>
  <si>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</si>
  <si>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</si>
  <si>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</si>
  <si>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</si>
  <si>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</si>
  <si>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</si>
  <si>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</si>
  <si>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</si>
  <si>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</si>
  <si>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</si>
  <si>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</si>
  <si>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</si>
  <si>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</si>
  <si>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</si>
  <si>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</si>
  <si>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</si>
  <si>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</si>
  <si>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</si>
  <si>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</si>
  <si>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</si>
  <si>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</si>
  <si>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</si>
  <si>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</si>
  <si>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</si>
  <si>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</si>
  <si>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</si>
  <si>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</si>
  <si>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</si>
  <si>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</si>
  <si>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</si>
  <si>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</si>
  <si>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</si>
  <si>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</si>
  <si>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</si>
  <si>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</si>
  <si>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</si>
  <si>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</si>
  <si>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</si>
  <si>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</si>
  <si>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</si>
  <si>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</si>
  <si>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</si>
  <si>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</si>
  <si>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</si>
  <si>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</si>
  <si>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</si>
  <si>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</si>
  <si>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</si>
  <si>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</si>
  <si>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</si>
  <si>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</si>
  <si>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</si>
  <si>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</si>
  <si>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</si>
  <si>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</si>
  <si>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</si>
  <si>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</si>
  <si>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</si>
  <si>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</si>
  <si>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</si>
  <si>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</si>
  <si>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</si>
  <si>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</si>
  <si>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</si>
  <si>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</si>
  <si>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</si>
  <si>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</si>
  <si>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</si>
  <si>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</si>
  <si>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</si>
  <si>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</si>
  <si>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</si>
  <si>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</si>
  <si>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</si>
  <si>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</si>
  <si>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</si>
  <si>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</si>
  <si>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</si>
  <si>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</si>
  <si>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</si>
  <si>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</si>
  <si>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</si>
  <si>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</si>
  <si>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</si>
  <si>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</si>
  <si>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</si>
  <si>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</si>
  <si>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</si>
  <si>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</si>
  <si>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</si>
  <si>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</si>
  <si>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</si>
  <si>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</si>
  <si>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</si>
  <si>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</si>
  <si>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</si>
  <si>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</si>
  <si>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</si>
  <si>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</si>
  <si>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</si>
  <si>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</si>
  <si>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</si>
  <si>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</si>
  <si>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</si>
  <si>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</si>
  <si>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</si>
  <si>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</si>
  <si>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</si>
  <si>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</si>
  <si>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</si>
  <si>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</si>
  <si>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</si>
  <si>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</si>
  <si>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</si>
  <si>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</si>
  <si>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</si>
  <si>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</si>
  <si>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</si>
  <si>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</si>
  <si>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</si>
  <si>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</si>
  <si>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</si>
  <si>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</si>
  <si>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</si>
  <si>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</si>
  <si>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</si>
  <si>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</si>
  <si>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</si>
  <si>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</si>
  <si>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</si>
  <si>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</si>
  <si>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</si>
  <si>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</si>
  <si>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</si>
  <si>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</si>
  <si>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</si>
  <si>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</si>
  <si>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</si>
  <si>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</si>
  <si>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</si>
  <si>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</si>
  <si>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</si>
  <si>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</si>
  <si>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</si>
  <si>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</si>
  <si>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</si>
  <si>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</si>
  <si>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</si>
  <si>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</si>
  <si>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</si>
  <si>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</si>
  <si>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</si>
  <si>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</si>
  <si>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</si>
  <si>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</si>
  <si>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</si>
  <si>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</si>
  <si>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</si>
  <si>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</si>
  <si>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</si>
  <si>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</si>
  <si>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</si>
  <si>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</si>
  <si>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</si>
  <si>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</si>
  <si>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</si>
  <si>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</si>
  <si>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</si>
  <si>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</si>
  <si>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</si>
  <si>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</si>
  <si>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</si>
  <si>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</si>
  <si>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</si>
  <si>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</si>
  <si>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</si>
  <si>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</si>
  <si>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</si>
  <si>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</si>
  <si>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</si>
  <si>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</si>
  <si>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</si>
  <si>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</si>
  <si>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</si>
  <si>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</si>
  <si>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</si>
  <si>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</si>
  <si>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</si>
  <si>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</si>
  <si>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</si>
  <si>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</si>
  <si>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</si>
  <si>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</si>
  <si>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</si>
  <si>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</si>
  <si>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</si>
  <si>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</si>
  <si>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</si>
  <si>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</si>
  <si>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</si>
  <si>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</si>
  <si>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</si>
  <si>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</si>
  <si>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</si>
  <si>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</si>
  <si>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</si>
  <si>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</si>
  <si>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</si>
  <si>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</si>
  <si>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</si>
  <si>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</si>
  <si>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</si>
  <si>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</si>
  <si>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</si>
  <si>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</si>
  <si>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</si>
  <si>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</si>
  <si>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</si>
  <si>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</si>
  <si>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</si>
  <si>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</si>
  <si>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</si>
  <si>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</si>
  <si>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</si>
  <si>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</si>
  <si>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</si>
  <si>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</si>
  <si>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</si>
  <si>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</si>
  <si>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</si>
  <si>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</si>
  <si>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</si>
  <si>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</si>
  <si>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</si>
  <si>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</si>
  <si>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</si>
  <si>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</si>
  <si>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</si>
  <si>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</si>
  <si>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</si>
  <si>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</si>
  <si>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</si>
  <si>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</si>
  <si>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</si>
  <si>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</si>
  <si>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</si>
  <si>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</si>
  <si>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</si>
  <si>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</si>
  <si>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</si>
  <si>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</si>
  <si>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</si>
  <si>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</si>
  <si>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</si>
  <si>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</si>
  <si>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</si>
  <si>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</si>
  <si>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</si>
  <si>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</si>
  <si>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</si>
  <si>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</si>
  <si>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</si>
  <si>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</si>
  <si>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</si>
  <si>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</si>
  <si>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</si>
  <si>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</si>
  <si>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</si>
  <si>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</si>
  <si>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</si>
  <si>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</si>
  <si>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</si>
  <si>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</si>
  <si>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</si>
  <si>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</si>
  <si>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</si>
  <si>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</si>
  <si>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</si>
  <si>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</si>
  <si>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</si>
  <si>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</si>
  <si>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</si>
  <si>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</si>
  <si>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</si>
  <si>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</si>
  <si>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</si>
  <si>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</si>
  <si>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</si>
  <si>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</si>
  <si>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</si>
  <si>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</si>
  <si>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</si>
  <si>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</si>
  <si>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</si>
  <si>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</si>
  <si>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</si>
  <si>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</si>
  <si>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</si>
  <si>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</si>
  <si>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</si>
  <si>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</si>
  <si>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</si>
  <si>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</si>
  <si>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</si>
  <si>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</si>
  <si>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</si>
  <si>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</si>
  <si>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</si>
  <si>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</si>
  <si>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</si>
  <si>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</si>
  <si>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</si>
  <si>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</si>
  <si>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</si>
  <si>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</si>
  <si>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</si>
  <si>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</si>
  <si>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</si>
  <si>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</si>
  <si>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</si>
  <si>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</si>
  <si>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</si>
  <si>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</si>
  <si>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</si>
  <si>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</si>
  <si>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</si>
  <si>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</si>
  <si>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</si>
  <si>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</si>
  <si>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</si>
  <si>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</si>
  <si>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</si>
  <si>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</si>
  <si>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</si>
  <si>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</si>
  <si>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</si>
  <si>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</si>
  <si>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</si>
  <si>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</si>
  <si>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</si>
  <si>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</si>
  <si>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</si>
  <si>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</si>
  <si>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</si>
  <si>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</si>
  <si>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</si>
  <si>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</si>
  <si>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</si>
  <si>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</si>
  <si>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</si>
  <si>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</si>
  <si>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</si>
  <si>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</si>
  <si>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</si>
  <si>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</si>
  <si>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</si>
  <si>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</si>
  <si>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</si>
  <si>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</si>
  <si>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</si>
  <si>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</si>
  <si>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</si>
  <si>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</si>
  <si>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</si>
  <si>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</si>
  <si>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</si>
  <si>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</si>
  <si>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</si>
  <si>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</si>
  <si>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</si>
  <si>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</si>
  <si>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</si>
  <si>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</si>
  <si>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</si>
  <si>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</si>
  <si>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</si>
  <si>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</si>
  <si>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</si>
  <si>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</si>
  <si>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</si>
  <si>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</si>
  <si>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</si>
  <si>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</si>
  <si>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</si>
  <si>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</si>
  <si>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</si>
  <si>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</si>
  <si>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</si>
  <si>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</si>
  <si>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</si>
  <si>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</si>
  <si>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</si>
  <si>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</si>
  <si>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</si>
  <si>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</si>
  <si>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</si>
  <si>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</si>
  <si>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</si>
  <si>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</si>
  <si>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</si>
  <si>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</si>
  <si>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</si>
  <si>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</si>
  <si>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</si>
  <si>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</si>
  <si>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</si>
  <si>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</si>
  <si>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</si>
  <si>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</si>
  <si>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</si>
  <si>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</si>
  <si>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</si>
  <si>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</si>
  <si>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</si>
  <si>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</si>
  <si>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</si>
  <si>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</si>
  <si>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</si>
  <si>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</si>
  <si>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</si>
  <si>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</si>
  <si>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</si>
  <si>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</si>
  <si>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</si>
  <si>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</si>
  <si>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</si>
  <si>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</si>
  <si>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</si>
  <si>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</si>
  <si>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</si>
  <si>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</si>
  <si>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</si>
  <si>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</si>
  <si>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</si>
  <si>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</si>
  <si>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</si>
  <si>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</si>
  <si>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</si>
  <si>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</si>
  <si>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</si>
  <si>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</si>
  <si>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</si>
  <si>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</si>
  <si>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</si>
  <si>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</si>
  <si>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</si>
  <si>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</si>
  <si>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</si>
  <si>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</si>
  <si>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</si>
  <si>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</si>
  <si>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</si>
  <si>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</si>
  <si>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</si>
  <si>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</si>
  <si>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</si>
  <si>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</si>
  <si>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</si>
  <si>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</si>
  <si>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</si>
  <si>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</si>
  <si>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</si>
  <si>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</si>
  <si>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</si>
  <si>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</si>
  <si>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</si>
  <si>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</si>
  <si>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</si>
  <si>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</si>
  <si>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</si>
  <si>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</si>
  <si>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</si>
  <si>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</si>
  <si>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</si>
  <si>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</si>
  <si>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</si>
  <si>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</si>
  <si>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</si>
  <si>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</si>
  <si>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</si>
  <si>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</si>
  <si>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</si>
  <si>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</si>
  <si>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</si>
  <si>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</si>
  <si>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</si>
  <si>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</si>
  <si>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</si>
  <si>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</si>
  <si>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</si>
  <si>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</si>
  <si>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</si>
  <si>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</si>
  <si>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</si>
  <si>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</si>
  <si>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</si>
  <si>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</si>
  <si>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</si>
  <si>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</si>
  <si>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</si>
  <si>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</si>
  <si>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</si>
  <si>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</si>
  <si>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</si>
  <si>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</si>
  <si>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</si>
  <si>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</si>
  <si>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</si>
  <si>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</si>
  <si>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</si>
  <si>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</si>
  <si>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</si>
  <si>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</si>
  <si>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</si>
  <si>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</si>
  <si>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</si>
  <si>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</si>
  <si>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</si>
  <si>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</si>
  <si>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</si>
  <si>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</si>
  <si>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</si>
  <si>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</si>
  <si>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</si>
  <si>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</si>
  <si>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</si>
  <si>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</si>
  <si>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</si>
  <si>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</si>
  <si>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</si>
  <si>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</si>
  <si>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</si>
  <si>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</si>
  <si>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</si>
  <si>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</si>
  <si>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</si>
  <si>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</si>
  <si>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</si>
  <si>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</si>
  <si>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</si>
  <si>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</si>
  <si>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</si>
  <si>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</si>
  <si>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</si>
  <si>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</si>
  <si>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</si>
  <si>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</si>
  <si>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</si>
  <si>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</si>
  <si>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</si>
  <si>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</si>
  <si>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</si>
  <si>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</si>
  <si>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</si>
  <si>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</si>
  <si>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</si>
  <si>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</si>
  <si>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</si>
  <si>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</si>
  <si>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</si>
  <si>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</si>
  <si>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</si>
  <si>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</si>
  <si>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</si>
  <si>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</si>
  <si>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</si>
  <si>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</si>
  <si>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</si>
  <si>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</si>
  <si>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</si>
  <si>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</si>
  <si>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</si>
  <si>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</si>
  <si>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</si>
  <si>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</si>
  <si>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</si>
  <si>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</si>
  <si>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</si>
  <si>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</si>
  <si>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</si>
  <si>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</si>
  <si>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</si>
  <si>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</si>
  <si>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</si>
  <si>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</si>
  <si>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</si>
  <si>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</si>
  <si>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</si>
  <si>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</si>
  <si>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</si>
  <si>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</si>
  <si>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</si>
  <si>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</si>
  <si>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</si>
  <si>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</si>
  <si>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</si>
  <si>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</si>
  <si>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</si>
  <si>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</si>
  <si>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</si>
  <si>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</si>
  <si>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</si>
  <si>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</si>
  <si>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</si>
  <si>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</si>
  <si>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</si>
  <si>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</si>
  <si>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</si>
  <si>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</si>
  <si>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</si>
  <si>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</si>
  <si>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</si>
  <si>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</si>
  <si>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</si>
  <si>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</si>
  <si>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</si>
  <si>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</si>
  <si>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</si>
  <si>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</si>
  <si>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</si>
  <si>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</si>
  <si>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</si>
  <si>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</si>
  <si>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</si>
  <si>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</si>
  <si>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</si>
  <si>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</si>
  <si>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</si>
  <si>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</si>
  <si>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</si>
  <si>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</si>
  <si>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</si>
  <si>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</si>
  <si>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</si>
  <si>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</si>
  <si>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</si>
  <si>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</si>
  <si>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</si>
  <si>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</si>
  <si>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</si>
  <si>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</si>
  <si>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</si>
  <si>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</si>
  <si>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</si>
  <si>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</si>
  <si>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</si>
  <si>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</si>
  <si>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</si>
  <si>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</si>
  <si>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</si>
  <si>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</si>
  <si>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</si>
  <si>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</si>
  <si>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</si>
  <si>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</si>
  <si>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</si>
  <si>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</si>
  <si>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</si>
  <si>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</si>
  <si>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</si>
  <si>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</si>
  <si>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</si>
  <si>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</si>
  <si>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</si>
  <si>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</si>
  <si>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</si>
  <si>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</si>
  <si>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</si>
  <si>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</si>
  <si>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</si>
  <si>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</si>
  <si>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</si>
  <si>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</si>
  <si>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</si>
  <si>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</si>
  <si>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</si>
  <si>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</si>
  <si>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</si>
  <si>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</si>
  <si>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</si>
  <si>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</si>
  <si>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</si>
  <si>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</si>
  <si>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</si>
  <si>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</si>
  <si>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</si>
  <si>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</si>
  <si>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</si>
  <si>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</si>
  <si>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</si>
  <si>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</si>
  <si>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</si>
  <si>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</si>
  <si>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</si>
  <si>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</si>
  <si>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</si>
  <si>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</si>
  <si>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</si>
  <si>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</si>
  <si>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</si>
  <si>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</si>
  <si>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</si>
  <si>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</si>
  <si>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</si>
  <si>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</si>
  <si>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</si>
  <si>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</si>
  <si>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</si>
  <si>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</si>
  <si>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</si>
  <si>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</si>
  <si>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</si>
  <si>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</si>
  <si>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</si>
  <si>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</si>
  <si>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</si>
  <si>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</si>
  <si>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</si>
  <si>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</si>
  <si>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</si>
  <si>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</si>
  <si>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</si>
  <si>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</si>
  <si>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</si>
  <si>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</si>
  <si>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</si>
  <si>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</si>
  <si>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</si>
  <si>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</si>
  <si>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</si>
  <si>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</si>
  <si>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</si>
  <si>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</si>
  <si>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</si>
  <si>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</si>
  <si>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</si>
  <si>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</si>
  <si>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</si>
  <si>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</si>
  <si>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</si>
  <si>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</si>
  <si>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</si>
  <si>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</si>
  <si>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</si>
  <si>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</si>
  <si>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</si>
  <si>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</si>
  <si>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</si>
  <si>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</si>
  <si>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</si>
  <si>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</si>
  <si>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</si>
  <si>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</si>
  <si>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</si>
  <si>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</si>
  <si>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</si>
  <si>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</si>
  <si>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</si>
  <si>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</si>
  <si>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</si>
  <si>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</si>
  <si>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</si>
  <si>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</si>
  <si>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</si>
  <si>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</si>
  <si>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</si>
  <si>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</si>
  <si>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</si>
  <si>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</si>
  <si>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</si>
  <si>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</si>
  <si>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</si>
  <si>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</si>
  <si>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</si>
  <si>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</si>
  <si>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</si>
  <si>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</si>
  <si>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</si>
  <si>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</si>
  <si>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</si>
  <si>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</si>
  <si>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</si>
  <si>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</si>
  <si>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</si>
  <si>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</si>
  <si>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</si>
  <si>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</si>
  <si>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</si>
  <si>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</si>
  <si>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</si>
  <si>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</si>
  <si>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</si>
  <si>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</si>
  <si>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</si>
  <si>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</si>
  <si>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</si>
  <si>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</si>
  <si>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</si>
  <si>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</si>
  <si>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</si>
  <si>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</si>
  <si>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</si>
  <si>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</si>
  <si>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</si>
  <si>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</si>
  <si>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</si>
  <si>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</si>
  <si>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</si>
  <si>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</si>
  <si>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</si>
  <si>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</si>
  <si>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</si>
  <si>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</si>
  <si>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</si>
  <si>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</si>
  <si>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</si>
  <si>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</si>
  <si>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</si>
  <si>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</si>
  <si>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</si>
  <si>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</si>
  <si>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</si>
  <si>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</si>
  <si>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</si>
  <si>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</si>
  <si>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</si>
  <si>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</si>
  <si>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</si>
  <si>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</si>
  <si>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</si>
  <si>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</si>
  <si>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</si>
  <si>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</si>
  <si>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</si>
  <si>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</si>
  <si>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</si>
  <si>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</si>
  <si>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</si>
  <si>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</si>
  <si>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</si>
  <si>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</si>
  <si>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</si>
  <si>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</si>
  <si>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</si>
  <si>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</si>
  <si>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</si>
  <si>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</si>
  <si>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</si>
  <si>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</si>
  <si>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</si>
  <si>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</si>
  <si>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</si>
  <si>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</si>
  <si>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</si>
  <si>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</si>
  <si>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</si>
  <si>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</si>
  <si>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</si>
  <si>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</si>
  <si>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</si>
  <si>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</si>
  <si>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</si>
  <si>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</si>
  <si>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</si>
  <si>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</si>
  <si>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</si>
  <si>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</si>
  <si>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</si>
  <si>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</si>
  <si>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</si>
  <si>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</si>
  <si>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</si>
  <si>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</si>
  <si>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</si>
  <si>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</si>
  <si>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</si>
  <si>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</si>
  <si>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</si>
  <si>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</si>
  <si>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</si>
  <si>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</si>
  <si>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</si>
  <si>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</si>
  <si>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</si>
  <si>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</si>
  <si>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</si>
  <si>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</si>
  <si>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</si>
  <si>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</si>
  <si>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</si>
  <si>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</si>
  <si>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</si>
  <si>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</si>
  <si>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</si>
  <si>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</si>
  <si>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</si>
  <si>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</si>
  <si>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</si>
  <si>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</si>
  <si>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</si>
  <si>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</si>
  <si>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</si>
  <si>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</si>
  <si>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</si>
  <si>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</si>
  <si>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</si>
  <si>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</si>
  <si>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</si>
  <si>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</si>
  <si>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</si>
  <si>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</si>
  <si>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</si>
  <si>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</si>
  <si>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</si>
  <si>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</si>
  <si>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</si>
  <si>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</si>
  <si>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</si>
  <si>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</si>
  <si>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</si>
  <si>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</si>
  <si>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</si>
  <si>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</si>
  <si>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</si>
  <si>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</si>
  <si>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</si>
  <si>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</si>
  <si>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</si>
  <si>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</si>
  <si>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</si>
  <si>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</si>
  <si>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</si>
  <si>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</si>
  <si>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</si>
  <si>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</si>
  <si>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</si>
  <si>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</si>
  <si>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</si>
  <si>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</si>
  <si>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</si>
  <si>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</si>
  <si>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</si>
  <si>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</si>
  <si>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</si>
  <si>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</si>
  <si>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</si>
  <si>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</si>
  <si>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</si>
  <si>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</si>
  <si>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</si>
  <si>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</si>
  <si>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</si>
  <si>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</si>
  <si>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</si>
  <si>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</si>
  <si>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</si>
  <si>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</si>
  <si>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</si>
  <si>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</si>
  <si>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</si>
  <si>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</si>
  <si>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</si>
  <si>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</si>
  <si>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</si>
  <si>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</si>
  <si>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</si>
  <si>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</si>
  <si>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</si>
  <si>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</si>
  <si>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</si>
  <si>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</si>
  <si>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</si>
  <si>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</si>
  <si>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</si>
  <si>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</si>
  <si>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</si>
  <si>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</si>
  <si>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</si>
  <si>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</si>
  <si>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</si>
  <si>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</si>
  <si>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</si>
  <si>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</si>
  <si>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</si>
  <si>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</si>
  <si>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</si>
  <si>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</si>
  <si>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</si>
  <si>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</si>
  <si>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</si>
  <si>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</si>
  <si>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</si>
  <si>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</si>
  <si>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</si>
  <si>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</si>
  <si>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</si>
  <si>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</si>
  <si>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</si>
  <si>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</si>
  <si>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</si>
  <si>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</si>
  <si>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</si>
  <si>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</si>
  <si>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</si>
  <si>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</si>
  <si>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</si>
  <si>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</si>
  <si>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</si>
  <si>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</si>
  <si>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</si>
  <si>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</si>
  <si>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</si>
  <si>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</si>
  <si>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</si>
  <si>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</si>
  <si>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</si>
  <si>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</si>
  <si>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</si>
  <si>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</si>
  <si>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</si>
  <si>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</si>
  <si>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</si>
  <si>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</si>
  <si>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</si>
  <si>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</si>
  <si>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</si>
  <si>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</si>
  <si>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</si>
  <si>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</si>
  <si>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</si>
  <si>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</si>
  <si>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</si>
  <si>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</si>
  <si>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</si>
  <si>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</si>
  <si>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</si>
  <si>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</si>
  <si>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</si>
  <si>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</si>
  <si>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</si>
  <si>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</si>
  <si>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</si>
  <si>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</si>
  <si>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</si>
  <si>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</si>
  <si>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</si>
  <si>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</si>
  <si>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</si>
  <si>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</si>
  <si>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</si>
  <si>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</si>
  <si>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</si>
  <si>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</si>
  <si>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</si>
  <si>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</si>
  <si>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</si>
  <si>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</si>
  <si>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</si>
  <si>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</si>
  <si>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</si>
  <si>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</si>
  <si>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</si>
  <si>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</si>
  <si>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</si>
  <si>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</si>
  <si>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</si>
  <si>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</si>
  <si>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</si>
  <si>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</si>
  <si>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</si>
  <si>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</si>
  <si>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</si>
  <si>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</si>
  <si>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</si>
  <si>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</si>
  <si>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</si>
  <si>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</si>
  <si>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</si>
  <si>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</si>
  <si>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</si>
  <si>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</si>
  <si>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</si>
  <si>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</si>
  <si>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</si>
  <si>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</si>
  <si>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</si>
  <si>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</si>
  <si>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</si>
  <si>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</si>
  <si>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</si>
  <si>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</si>
  <si>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</si>
  <si>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</si>
  <si>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</si>
  <si>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</si>
  <si>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</si>
  <si>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</si>
  <si>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</si>
  <si>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</si>
  <si>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</si>
  <si>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</si>
  <si>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</si>
  <si>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</si>
  <si>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</si>
  <si>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</si>
  <si>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</si>
  <si>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</si>
  <si>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</si>
  <si>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</si>
  <si>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</si>
  <si>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</si>
  <si>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</si>
  <si>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</si>
  <si>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</si>
  <si>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</si>
  <si>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</si>
  <si>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</si>
  <si>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</si>
  <si>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</si>
  <si>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</si>
  <si>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</si>
  <si>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</si>
  <si>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</si>
  <si>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</si>
  <si>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</si>
  <si>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</si>
  <si>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</si>
  <si>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</si>
  <si>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</si>
  <si>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</si>
  <si>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</si>
  <si>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</si>
  <si>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</si>
  <si>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</si>
  <si>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</si>
  <si>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</si>
  <si>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</si>
  <si>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</si>
  <si>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</si>
  <si>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</si>
  <si>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</si>
  <si>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</si>
  <si>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</si>
  <si>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</si>
  <si>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</si>
  <si>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</si>
  <si>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</si>
  <si>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</si>
  <si>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</si>
  <si>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</si>
  <si>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</si>
  <si>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</si>
  <si>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</si>
  <si>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</si>
  <si>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</si>
  <si>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</si>
  <si>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</si>
  <si>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</si>
  <si>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</si>
  <si>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</si>
  <si>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</si>
  <si>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</si>
  <si>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</si>
  <si>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</si>
  <si>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</si>
  <si>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</si>
  <si>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</si>
  <si>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</si>
  <si>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</si>
  <si>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</si>
  <si>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</si>
  <si>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</si>
  <si>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</si>
  <si>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</si>
  <si>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</si>
  <si>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</si>
  <si>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</si>
  <si>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</si>
  <si>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</si>
  <si>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</si>
  <si>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</si>
  <si>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</si>
  <si>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</si>
  <si>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</si>
  <si>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</si>
  <si>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</si>
  <si>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</si>
  <si>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</si>
  <si>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</si>
  <si>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</si>
  <si>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</si>
  <si>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</si>
  <si>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</si>
  <si>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</si>
  <si>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</si>
  <si>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</si>
  <si>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</si>
  <si>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</si>
  <si>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</si>
  <si>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</si>
  <si>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</si>
  <si>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</si>
  <si>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</si>
  <si>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</si>
  <si>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</si>
  <si>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</si>
  <si>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</si>
  <si>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</si>
  <si>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</si>
  <si>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</si>
  <si>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</si>
  <si>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</si>
  <si>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</si>
  <si>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</si>
  <si>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</si>
  <si>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</si>
  <si>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</si>
  <si>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</si>
  <si>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</si>
  <si>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</si>
  <si>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</si>
  <si>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</si>
  <si>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</si>
  <si>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</si>
  <si>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</si>
  <si>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</si>
  <si>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</si>
  <si>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</si>
  <si>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</si>
  <si>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</si>
  <si>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</si>
  <si>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</si>
  <si>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</si>
  <si>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</si>
  <si>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</si>
  <si>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</si>
  <si>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</si>
  <si>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</si>
  <si>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</si>
  <si>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</si>
  <si>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</si>
  <si>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</si>
  <si>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</si>
  <si>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</si>
  <si>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</si>
  <si>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</si>
  <si>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</si>
  <si>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</si>
  <si>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</si>
  <si>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</si>
  <si>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</si>
  <si>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</si>
  <si>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</si>
  <si>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</si>
  <si>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</si>
  <si>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</si>
  <si>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</si>
  <si>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</si>
  <si>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</si>
  <si>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</si>
  <si>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</si>
  <si>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</si>
  <si>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</si>
  <si>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</si>
  <si>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</si>
  <si>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</si>
  <si>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</si>
  <si>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</si>
  <si>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</si>
  <si>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</si>
  <si>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</si>
  <si>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</si>
  <si>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</si>
  <si>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</si>
  <si>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</si>
  <si>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</si>
  <si>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</si>
  <si>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</si>
  <si>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</si>
  <si>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</si>
  <si>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</si>
  <si>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</si>
  <si>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</si>
  <si>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</si>
  <si>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</si>
  <si>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</si>
  <si>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</si>
  <si>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</si>
  <si>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</si>
  <si>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</si>
  <si>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</si>
  <si>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</si>
  <si>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</si>
  <si>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</si>
  <si>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</si>
  <si>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</si>
  <si>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</si>
  <si>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</si>
  <si>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</si>
  <si>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</si>
  <si>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</si>
  <si>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</si>
  <si>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</si>
  <si>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</si>
  <si>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</si>
  <si>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</si>
  <si>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</si>
  <si>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</si>
  <si>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</si>
  <si>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</si>
  <si>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</si>
  <si>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</si>
  <si>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</si>
  <si>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</si>
  <si>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</si>
  <si>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</si>
  <si>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</si>
  <si>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</si>
  <si>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</si>
  <si>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</si>
  <si>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</si>
  <si>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</si>
  <si>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</si>
  <si>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</si>
  <si>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</si>
  <si>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</si>
  <si>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</si>
  <si>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</si>
  <si>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</si>
  <si>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</si>
  <si>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</si>
  <si>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</si>
  <si>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</si>
  <si>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</si>
  <si>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</si>
  <si>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</si>
  <si>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</si>
  <si>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</si>
  <si>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</si>
  <si>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</si>
  <si>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</si>
  <si>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</si>
  <si>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</si>
  <si>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</si>
  <si>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</si>
  <si>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</si>
  <si>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</si>
  <si>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</si>
  <si>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</si>
  <si>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</si>
  <si>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</si>
  <si>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</si>
  <si>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</si>
  <si>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</si>
  <si>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</si>
  <si>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</si>
  <si>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</si>
  <si>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</si>
  <si>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</si>
  <si>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</si>
  <si>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</si>
  <si>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</si>
  <si>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</si>
  <si>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</si>
  <si>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</si>
  <si>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</si>
  <si>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</si>
  <si>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</si>
  <si>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</si>
  <si>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</si>
  <si>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</si>
  <si>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</si>
  <si>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</si>
  <si>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</si>
  <si>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</si>
  <si>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</si>
  <si>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</si>
  <si>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</si>
  <si>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</si>
  <si>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</si>
  <si>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</si>
  <si>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</si>
  <si>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</si>
  <si>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</si>
  <si>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</si>
  <si>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</si>
  <si>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</si>
  <si>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</si>
  <si>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</si>
  <si>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</si>
  <si>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</si>
  <si>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</si>
  <si>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</si>
  <si>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</si>
  <si>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</si>
  <si>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</si>
  <si>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</si>
  <si>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</si>
  <si>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</si>
  <si>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</si>
  <si>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</si>
  <si>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</si>
  <si>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</si>
  <si>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</si>
  <si>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</si>
  <si>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</si>
  <si>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</si>
  <si>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</si>
  <si>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</si>
  <si>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</si>
  <si>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</si>
  <si>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</si>
  <si>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</si>
  <si>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</si>
  <si>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</si>
  <si>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</si>
  <si>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</si>
  <si>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</si>
  <si>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</si>
  <si>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</si>
  <si>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</si>
  <si>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</si>
  <si>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</si>
  <si>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</si>
  <si>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</si>
  <si>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</si>
  <si>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</si>
  <si>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</si>
  <si>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</si>
  <si>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</si>
  <si>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</si>
  <si>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</si>
  <si>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</si>
  <si>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</si>
  <si>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</si>
  <si>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</si>
  <si>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</si>
  <si>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</si>
  <si>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</si>
  <si>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</si>
  <si>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</si>
  <si>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</si>
  <si>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</si>
  <si>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</si>
  <si>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</si>
  <si>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</si>
  <si>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</si>
  <si>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</si>
  <si>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</si>
  <si>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</si>
  <si>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</si>
  <si>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</si>
  <si>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</si>
  <si>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</si>
  <si>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</si>
  <si>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</si>
  <si>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</si>
  <si>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</si>
  <si>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</si>
  <si>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</si>
  <si>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</si>
  <si>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</si>
  <si>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</si>
  <si>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</si>
  <si>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</si>
  <si>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</si>
  <si>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</si>
  <si>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</si>
  <si>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</si>
  <si>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</si>
  <si>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</si>
  <si>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</si>
  <si>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</si>
  <si>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</si>
  <si>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</si>
  <si>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</si>
  <si>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</si>
  <si>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</si>
  <si>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</si>
  <si>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</si>
  <si>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</si>
  <si>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</si>
  <si>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</si>
  <si>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</si>
  <si>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</si>
  <si>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</si>
  <si>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</si>
  <si>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</si>
  <si>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</si>
  <si>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</si>
  <si>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</si>
  <si>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</si>
  <si>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</si>
  <si>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</si>
  <si>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</si>
  <si>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</si>
  <si>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</si>
  <si>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</si>
  <si>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</si>
  <si>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</si>
  <si>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</si>
  <si>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</si>
  <si>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</si>
  <si>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</si>
  <si>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</si>
  <si>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</si>
  <si>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</si>
  <si>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</si>
  <si>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</si>
  <si>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</si>
  <si>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</si>
  <si>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</si>
  <si>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</si>
  <si>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</si>
  <si>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</si>
  <si>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</si>
  <si>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</si>
  <si>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</si>
  <si>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</si>
  <si>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</si>
  <si>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</si>
  <si>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</si>
  <si>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</si>
  <si>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</si>
  <si>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</si>
  <si>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</si>
  <si>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</si>
  <si>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</si>
  <si>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</si>
  <si>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</si>
  <si>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</si>
  <si>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</si>
  <si>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</si>
  <si>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</si>
  <si>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</si>
  <si>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</si>
  <si>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</si>
  <si>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</si>
  <si>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</si>
  <si>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</si>
  <si>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</si>
  <si>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</si>
  <si>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</si>
  <si>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</si>
  <si>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</si>
  <si>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</si>
  <si>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</si>
  <si>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</si>
  <si>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</si>
  <si>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</si>
  <si>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</si>
  <si>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</si>
  <si>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</si>
  <si>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</si>
  <si>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</si>
  <si>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</si>
  <si>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</si>
  <si>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</si>
  <si>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</si>
  <si>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</si>
  <si>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</si>
  <si>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</si>
  <si>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</si>
  <si>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</si>
  <si>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</si>
  <si>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</si>
  <si>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</si>
  <si>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</si>
  <si>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</si>
  <si>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</si>
  <si>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</si>
  <si>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</si>
  <si>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</si>
  <si>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</si>
  <si>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</si>
  <si>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</si>
  <si>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</si>
  <si>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</si>
  <si>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</si>
  <si>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</si>
  <si>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</si>
  <si>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</si>
  <si>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</si>
  <si>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</si>
  <si>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</si>
  <si>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</si>
  <si>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</si>
  <si>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</si>
  <si>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</si>
  <si>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</si>
  <si>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</si>
  <si>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</si>
  <si>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</si>
  <si>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</si>
  <si>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</si>
  <si>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</si>
  <si>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</si>
  <si>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</si>
  <si>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</si>
  <si>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</si>
  <si>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</si>
  <si>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</si>
  <si>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</si>
  <si>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</si>
  <si>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</si>
  <si>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</si>
  <si>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</si>
  <si>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</si>
  <si>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</si>
  <si>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</si>
  <si>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</si>
  <si>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</si>
  <si>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</si>
  <si>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</si>
  <si>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</si>
  <si>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</si>
  <si>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</si>
  <si>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</si>
  <si>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</si>
  <si>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</si>
  <si>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</si>
  <si>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</si>
  <si>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</si>
  <si>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</si>
  <si>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</si>
  <si>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</si>
  <si>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</si>
  <si>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</si>
  <si>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</si>
  <si>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</si>
  <si>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</si>
  <si>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</si>
  <si>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</si>
  <si>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</si>
  <si>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</si>
  <si>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</si>
  <si>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</si>
  <si>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</si>
  <si>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</si>
  <si>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</si>
  <si>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</si>
  <si>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</si>
  <si>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</si>
  <si>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</si>
  <si>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</si>
  <si>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</si>
  <si>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</si>
  <si>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</si>
  <si>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</si>
  <si>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</si>
  <si>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</si>
  <si>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</si>
  <si>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</si>
  <si>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</si>
  <si>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</si>
  <si>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</si>
  <si>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</si>
  <si>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</si>
  <si>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</si>
  <si>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</si>
  <si>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</si>
  <si>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</si>
  <si>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</si>
  <si>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</si>
  <si>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</si>
  <si>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</si>
  <si>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</si>
  <si>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</si>
  <si>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</si>
  <si>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</si>
  <si>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</si>
  <si>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</si>
  <si>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</si>
  <si>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</si>
  <si>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</si>
  <si>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</si>
  <si>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</si>
  <si>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</si>
  <si>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</si>
  <si>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</si>
  <si>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</si>
  <si>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</si>
  <si>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</si>
  <si>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</si>
  <si>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</si>
  <si>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</si>
  <si>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</si>
  <si>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</si>
  <si>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</si>
  <si>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</si>
  <si>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</si>
  <si>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</si>
  <si>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</si>
  <si>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</si>
  <si>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</si>
  <si>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</si>
  <si>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</si>
  <si>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</si>
  <si>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</si>
  <si>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</si>
  <si>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</si>
  <si>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</si>
  <si>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</si>
  <si>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</si>
  <si>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</si>
  <si>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</si>
  <si>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</si>
  <si>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</si>
  <si>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</si>
  <si>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</si>
  <si>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</si>
  <si>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</si>
  <si>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</si>
  <si>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</si>
  <si>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</si>
  <si>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</si>
  <si>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</si>
  <si>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</si>
  <si>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</si>
  <si>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</si>
  <si>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</si>
  <si>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</si>
  <si>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</si>
  <si>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</si>
  <si>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</si>
  <si>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</si>
  <si>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</si>
  <si>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</si>
  <si>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</si>
  <si>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</si>
  <si>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</si>
  <si>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</si>
  <si>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</si>
  <si>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</si>
  <si>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</si>
  <si>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</si>
  <si>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</si>
  <si>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</si>
  <si>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</si>
  <si>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</si>
  <si>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</si>
  <si>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</si>
  <si>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</si>
  <si>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</si>
  <si>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</si>
  <si>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</si>
  <si>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</si>
  <si>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</si>
  <si>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</si>
  <si>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</si>
  <si>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</si>
  <si>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</si>
  <si>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</si>
  <si>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</si>
  <si>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</si>
  <si>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</si>
  <si>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</si>
  <si>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</si>
  <si>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</si>
  <si>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</si>
  <si>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</si>
  <si>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</si>
  <si>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</si>
  <si>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</si>
  <si>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</si>
  <si>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</si>
  <si>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</si>
  <si>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</si>
  <si>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</si>
  <si>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</si>
  <si>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</si>
  <si>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</si>
  <si>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</si>
  <si>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</si>
  <si>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</si>
  <si>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</si>
  <si>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</si>
  <si>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</si>
  <si>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</si>
  <si>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</si>
  <si>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</si>
  <si>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</si>
  <si>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</si>
  <si>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</si>
  <si>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</si>
  <si>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</si>
  <si>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</si>
  <si>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</si>
  <si>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</si>
  <si>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</si>
  <si>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</si>
  <si>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</si>
  <si>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</si>
  <si>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</si>
  <si>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</si>
  <si>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</si>
  <si>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</si>
  <si>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</si>
  <si>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</si>
  <si>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</si>
  <si>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</si>
  <si>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</si>
  <si>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</si>
  <si>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</si>
  <si>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</si>
  <si>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</si>
  <si>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</si>
  <si>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</si>
  <si>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</si>
  <si>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</si>
  <si>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</si>
  <si>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</si>
  <si>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</si>
  <si>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</si>
  <si>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</si>
  <si>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</si>
  <si>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</si>
  <si>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</si>
  <si>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</si>
  <si>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</si>
  <si>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</si>
  <si>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</si>
  <si>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</si>
  <si>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</si>
  <si>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</si>
  <si>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</si>
  <si>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</si>
  <si>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</si>
  <si>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</si>
  <si>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</si>
  <si>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</si>
  <si>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</si>
  <si>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</si>
  <si>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</si>
  <si>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</si>
  <si>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</si>
  <si>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</si>
  <si>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</si>
  <si>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</si>
  <si>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</si>
  <si>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</si>
  <si>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</si>
  <si>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</si>
  <si>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</si>
  <si>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</si>
  <si>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</si>
  <si>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</si>
  <si>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</si>
  <si>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</si>
  <si>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</si>
  <si>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</si>
  <si>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</si>
  <si>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</si>
  <si>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</si>
  <si>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</si>
  <si>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</si>
  <si>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</si>
  <si>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</si>
  <si>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</si>
  <si>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</si>
  <si>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</si>
  <si>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</si>
  <si>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</si>
  <si>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</si>
  <si>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</si>
  <si>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</si>
  <si>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</si>
  <si>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</si>
  <si>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</si>
  <si>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</si>
  <si>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</si>
  <si>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</si>
  <si>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</si>
  <si>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</si>
  <si>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</si>
  <si>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</si>
  <si>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</si>
  <si>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</si>
  <si>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</si>
  <si>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</si>
  <si>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</si>
  <si>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</si>
  <si>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</si>
  <si>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</si>
  <si>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</si>
  <si>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</si>
  <si>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</si>
  <si>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</si>
  <si>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</si>
  <si>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</si>
  <si>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</si>
  <si>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</si>
  <si>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</si>
  <si>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</si>
  <si>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</si>
  <si>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</si>
  <si>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</si>
  <si>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</si>
  <si>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</si>
  <si>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</si>
  <si>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</si>
  <si>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</si>
  <si>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</si>
  <si>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</si>
  <si>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</si>
  <si>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</si>
  <si>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</si>
  <si>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</si>
  <si>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</si>
  <si>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</si>
  <si>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</si>
  <si>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</si>
  <si>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</si>
  <si>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</si>
  <si>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</si>
  <si>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</si>
  <si>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</si>
  <si>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</si>
  <si>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</si>
  <si>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</si>
  <si>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</si>
  <si>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</si>
  <si>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</si>
  <si>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</si>
  <si>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</si>
  <si>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</si>
  <si>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</si>
  <si>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</si>
  <si>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</si>
  <si>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</si>
  <si>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</si>
  <si>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</si>
  <si>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</si>
  <si>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</si>
  <si>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</si>
  <si>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</si>
  <si>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</si>
  <si>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</si>
  <si>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</si>
  <si>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</si>
  <si>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</si>
  <si>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</si>
  <si>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</si>
  <si>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</si>
  <si>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</si>
  <si>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</si>
  <si>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</si>
  <si>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</si>
  <si>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</si>
  <si>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</si>
  <si>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</si>
  <si>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</si>
  <si>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</si>
  <si>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</si>
  <si>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</si>
  <si>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</si>
  <si>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</si>
  <si>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</si>
  <si>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</si>
  <si>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</si>
  <si>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</si>
  <si>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</si>
  <si>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</si>
  <si>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</si>
  <si>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</si>
  <si>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</si>
  <si>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</si>
  <si>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</si>
  <si>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</si>
  <si>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</si>
  <si>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</si>
  <si>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</si>
  <si>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</si>
  <si>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</si>
  <si>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</si>
  <si>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</si>
  <si>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</si>
  <si>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</si>
  <si>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</si>
  <si>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</si>
  <si>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</si>
  <si>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</si>
  <si>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</si>
  <si>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</si>
  <si>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</si>
  <si>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</si>
  <si>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</si>
  <si>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</si>
  <si>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</si>
  <si>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</si>
  <si>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</si>
  <si>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</si>
  <si>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</si>
  <si>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</si>
  <si>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</si>
  <si>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</si>
  <si>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</si>
  <si>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</si>
  <si>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</si>
  <si>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</si>
  <si>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</si>
  <si>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</si>
  <si>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</si>
  <si>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</si>
  <si>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</si>
  <si>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</si>
  <si>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</si>
  <si>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</si>
  <si>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</si>
  <si>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</si>
  <si>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</si>
  <si>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</si>
  <si>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</si>
  <si>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</si>
  <si>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</si>
  <si>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</si>
  <si>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</si>
  <si>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</si>
  <si>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</si>
  <si>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</si>
  <si>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</si>
  <si>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</si>
  <si>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</si>
  <si>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</si>
  <si>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</si>
  <si>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</si>
  <si>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</si>
  <si>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</si>
  <si>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</si>
  <si>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</si>
  <si>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</si>
  <si>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</si>
  <si>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</si>
  <si>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</si>
  <si>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</si>
  <si>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</si>
  <si>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</si>
  <si>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</si>
  <si>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</si>
  <si>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</si>
  <si>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</si>
  <si>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</si>
  <si>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</si>
  <si>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</si>
  <si>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</si>
  <si>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</si>
  <si>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</si>
  <si>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</si>
  <si>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</si>
  <si>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</si>
  <si>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</si>
  <si>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</si>
  <si>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</si>
  <si>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</si>
  <si>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</si>
  <si>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</si>
  <si>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</si>
  <si>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</si>
  <si>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</si>
  <si>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</si>
  <si>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</si>
  <si>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</si>
  <si>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</si>
  <si>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</si>
  <si>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</si>
  <si>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</si>
  <si>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</si>
  <si>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</si>
  <si>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</si>
  <si>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</si>
  <si>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</si>
  <si>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</si>
  <si>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</si>
  <si>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</si>
  <si>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</si>
  <si>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</si>
  <si>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</si>
  <si>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</si>
  <si>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</si>
  <si>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</si>
  <si>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</si>
  <si>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</si>
  <si>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</si>
  <si>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</si>
  <si>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</si>
  <si>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</si>
  <si>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</si>
  <si>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</si>
  <si>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</si>
  <si>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</si>
  <si>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</si>
  <si>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</si>
  <si>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</si>
  <si>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</si>
  <si>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</si>
  <si>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</si>
  <si>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</si>
  <si>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</si>
  <si>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</si>
  <si>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</si>
  <si>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</si>
  <si>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</si>
  <si>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</si>
  <si>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</si>
  <si>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</si>
  <si>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</si>
  <si>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</si>
  <si>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</si>
  <si>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</si>
  <si>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</si>
  <si>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</si>
  <si>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</si>
  <si>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</si>
  <si>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</si>
  <si>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</si>
  <si>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</si>
  <si>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</si>
  <si>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</si>
  <si>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</si>
  <si>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</si>
  <si>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</si>
  <si>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</si>
  <si>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</si>
  <si>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</si>
  <si>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</si>
  <si>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</si>
  <si>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</si>
  <si>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</si>
  <si>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</si>
  <si>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</si>
  <si>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</si>
  <si>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</si>
  <si>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</si>
  <si>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</si>
  <si>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</si>
  <si>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</si>
  <si>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</si>
  <si>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</si>
  <si>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</si>
  <si>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</si>
  <si>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</si>
  <si>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</si>
  <si>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</si>
  <si>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</si>
  <si>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</si>
  <si>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</si>
  <si>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</si>
  <si>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</si>
  <si>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</si>
  <si>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</si>
  <si>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</si>
  <si>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</si>
  <si>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</si>
  <si>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</si>
  <si>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</si>
  <si>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</si>
  <si>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</si>
  <si>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</si>
  <si>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</si>
  <si>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</si>
  <si>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</si>
  <si>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</si>
  <si>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</si>
  <si>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</si>
  <si>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</si>
  <si>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</si>
  <si>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</si>
  <si>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</si>
  <si>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</si>
  <si>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</si>
  <si>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</si>
  <si>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</si>
  <si>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</si>
  <si>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</si>
  <si>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</si>
  <si>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</si>
  <si>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</si>
  <si>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</si>
  <si>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</si>
  <si>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</si>
  <si>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</si>
  <si>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</si>
  <si>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</si>
  <si>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</si>
  <si>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</si>
  <si>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</si>
  <si>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</si>
  <si>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</si>
  <si>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</si>
  <si>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</si>
  <si>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</si>
  <si>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</si>
  <si>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</si>
  <si>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</si>
  <si>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</si>
  <si>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</si>
  <si>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</si>
  <si>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</si>
  <si>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</si>
  <si>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</si>
  <si>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</si>
  <si>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</si>
  <si>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</si>
  <si>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</si>
  <si>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</si>
  <si>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</si>
  <si>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</si>
  <si>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</si>
  <si>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</si>
  <si>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</si>
  <si>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</si>
  <si>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</si>
  <si>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</si>
  <si>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</si>
  <si>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</si>
  <si>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</si>
  <si>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</si>
  <si>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</si>
  <si>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</si>
  <si>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</si>
  <si>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</si>
  <si>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</si>
  <si>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</si>
  <si>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</si>
  <si>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</si>
  <si>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</si>
  <si>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</si>
  <si>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</si>
  <si>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</si>
  <si>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</si>
  <si>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</si>
  <si>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</si>
  <si>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</si>
  <si>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</si>
  <si>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</si>
  <si>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</si>
  <si>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</si>
  <si>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</si>
  <si>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</si>
  <si>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</si>
  <si>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</si>
  <si>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</si>
  <si>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</si>
  <si>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</si>
  <si>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</si>
  <si>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</si>
  <si>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</si>
  <si>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</si>
  <si>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</si>
  <si>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</si>
  <si>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</si>
  <si>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</si>
  <si>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</si>
  <si>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</si>
  <si>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</si>
  <si>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</si>
  <si>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</si>
  <si>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</si>
  <si>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</si>
  <si>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</si>
  <si>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</si>
  <si>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</si>
  <si>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</si>
  <si>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</si>
  <si>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</si>
  <si>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</si>
  <si>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</si>
  <si>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</si>
  <si>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</si>
  <si>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</si>
  <si>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</si>
  <si>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</si>
  <si>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</si>
  <si>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</si>
  <si>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</si>
  <si>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</si>
  <si>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</si>
  <si>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</si>
  <si>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</si>
  <si>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</si>
  <si>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</si>
  <si>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</si>
  <si>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</si>
  <si>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</si>
  <si>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</si>
  <si>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</si>
  <si>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</si>
  <si>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</si>
  <si>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</si>
  <si>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</si>
  <si>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</si>
  <si>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</si>
  <si>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</si>
  <si>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</si>
  <si>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</si>
  <si>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</si>
  <si>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</si>
  <si>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</si>
  <si>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</si>
  <si>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</si>
  <si>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</si>
  <si>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</si>
  <si>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</si>
  <si>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</si>
  <si>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</si>
  <si>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</si>
  <si>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</si>
  <si>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</si>
  <si>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</si>
  <si>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</si>
  <si>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</si>
  <si>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</si>
  <si>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</si>
  <si>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</si>
  <si>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</si>
  <si>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</si>
  <si>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</si>
  <si>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</si>
  <si>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</si>
  <si>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</si>
  <si>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</si>
  <si>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</si>
  <si>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</si>
  <si>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</si>
  <si>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</si>
  <si>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</si>
  <si>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</si>
  <si>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</si>
  <si>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</si>
  <si>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</si>
  <si>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</si>
  <si>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</si>
  <si>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</si>
  <si>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</si>
  <si>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</si>
  <si>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</si>
  <si>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</si>
  <si>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</si>
  <si>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</si>
  <si>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</si>
  <si>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</si>
  <si>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</si>
  <si>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</si>
  <si>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</si>
  <si>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</si>
  <si>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</si>
  <si>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</si>
  <si>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</si>
  <si>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</si>
  <si>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</si>
  <si>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</si>
  <si>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</si>
  <si>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</si>
  <si>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</si>
  <si>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</si>
  <si>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</si>
  <si>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</si>
  <si>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</si>
  <si>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</si>
  <si>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</si>
  <si>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</si>
  <si>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</si>
  <si>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</si>
  <si>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</si>
  <si>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</si>
  <si>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</si>
  <si>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</si>
  <si>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</si>
  <si>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</si>
  <si>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</si>
  <si>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</si>
  <si>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</si>
  <si>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</si>
  <si>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</si>
  <si>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</si>
  <si>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</si>
  <si>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</si>
  <si>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</si>
  <si>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</si>
  <si>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</si>
  <si>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</si>
  <si>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</si>
  <si>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</si>
  <si>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</si>
  <si>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</si>
  <si>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</si>
  <si>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</si>
  <si>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</si>
  <si>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</si>
  <si>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</si>
  <si>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</si>
  <si>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</si>
  <si>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</si>
  <si>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</si>
  <si>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</si>
  <si>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</si>
  <si>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</si>
  <si>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</si>
  <si>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</si>
  <si>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</si>
  <si>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</si>
  <si>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</si>
  <si>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</si>
  <si>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</si>
  <si>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</si>
  <si>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</si>
  <si>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</si>
  <si>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</si>
  <si>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</si>
  <si>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</si>
  <si>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</si>
  <si>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</si>
  <si>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</si>
  <si>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</si>
  <si>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</si>
  <si>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</si>
  <si>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</si>
  <si>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</si>
  <si>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</si>
  <si>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</si>
  <si>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</si>
  <si>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</si>
  <si>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</si>
  <si>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</si>
  <si>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</si>
  <si>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</si>
  <si>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</si>
  <si>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</si>
  <si>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</si>
  <si>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</si>
  <si>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</si>
  <si>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</si>
  <si>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</si>
  <si>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</si>
  <si>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</si>
  <si>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</si>
  <si>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</si>
  <si>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</si>
  <si>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</si>
  <si>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</si>
  <si>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</si>
  <si>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</si>
  <si>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</si>
  <si>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</si>
  <si>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</si>
  <si>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</si>
  <si>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</si>
  <si>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</si>
  <si>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</si>
  <si>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</si>
  <si>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</si>
  <si>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</si>
  <si>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</si>
  <si>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</si>
  <si>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</si>
  <si>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</si>
  <si>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</si>
  <si>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</si>
  <si>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</si>
  <si>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</si>
  <si>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</si>
  <si>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</si>
  <si>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</si>
  <si>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</si>
  <si>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</si>
  <si>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</si>
  <si>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</si>
  <si>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</si>
  <si>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</si>
  <si>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</si>
  <si>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</si>
  <si>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</si>
  <si>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</si>
  <si>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</si>
  <si>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</si>
  <si>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</si>
  <si>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</si>
  <si>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</si>
  <si>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</si>
  <si>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</si>
  <si>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</si>
  <si>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</si>
  <si>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</si>
  <si>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</si>
  <si>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</si>
  <si>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</si>
  <si>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</si>
  <si>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</si>
  <si>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</si>
  <si>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</si>
  <si>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</si>
  <si>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</si>
  <si>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</si>
  <si>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</si>
  <si>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</si>
  <si>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</si>
  <si>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</si>
  <si>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</si>
  <si>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</si>
  <si>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</si>
  <si>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</si>
  <si>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</si>
  <si>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</si>
  <si>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</si>
  <si>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</si>
  <si>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</si>
  <si>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</si>
  <si>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</si>
  <si>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</si>
  <si>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</si>
  <si>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</si>
  <si>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</si>
  <si>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</si>
  <si>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</si>
  <si>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</si>
  <si>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</si>
  <si>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</si>
  <si>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</si>
  <si>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</si>
  <si>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</si>
  <si>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</si>
  <si>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</si>
  <si>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</si>
  <si>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</si>
  <si>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</si>
  <si>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</si>
  <si>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</si>
  <si>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</si>
  <si>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</si>
  <si>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</si>
  <si>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</si>
  <si>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</si>
  <si>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</si>
  <si>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</si>
  <si>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</si>
  <si>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</si>
  <si>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</si>
  <si>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</si>
  <si>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</si>
  <si>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</si>
  <si>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</si>
  <si>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</si>
  <si>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</si>
  <si>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</si>
  <si>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</si>
  <si>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</si>
  <si>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</si>
  <si>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</si>
  <si>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</si>
  <si>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</si>
  <si>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</si>
  <si>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</si>
  <si>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</si>
  <si>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</si>
  <si>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</si>
  <si>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</si>
  <si>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</si>
  <si>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</si>
  <si>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</si>
  <si>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</si>
  <si>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</si>
  <si>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</si>
  <si>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</si>
  <si>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</si>
  <si>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</si>
  <si>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</si>
  <si>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</si>
  <si>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</si>
  <si>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</si>
  <si>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</si>
  <si>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</si>
  <si>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</si>
  <si>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</si>
  <si>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</si>
  <si>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</si>
  <si>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</si>
  <si>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</si>
  <si>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</si>
  <si>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</si>
  <si>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</si>
  <si>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</si>
  <si>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</si>
  <si>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</si>
  <si>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</si>
  <si>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</si>
  <si>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</si>
  <si>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</si>
  <si>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</si>
  <si>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</si>
  <si>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</si>
  <si>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</si>
  <si>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</si>
  <si>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</si>
  <si>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</si>
  <si>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</si>
  <si>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</si>
  <si>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</si>
  <si>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</si>
  <si>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</si>
  <si>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</si>
  <si>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</si>
  <si>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</si>
  <si>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</si>
  <si>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</si>
  <si>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</si>
  <si>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</si>
  <si>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</si>
  <si>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</si>
  <si>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</si>
  <si>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</si>
  <si>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</si>
  <si>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</si>
  <si>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</si>
  <si>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</si>
  <si>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</si>
  <si>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</si>
  <si>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</si>
  <si>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</si>
  <si>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</si>
  <si>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</si>
  <si>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</si>
  <si>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</si>
  <si>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</si>
  <si>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</si>
  <si>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</si>
  <si>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</si>
  <si>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</si>
  <si>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</si>
  <si>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</si>
  <si>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</si>
  <si>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</si>
  <si>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</si>
  <si>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</si>
  <si>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</si>
  <si>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</si>
  <si>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</si>
  <si>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</si>
  <si>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</si>
  <si>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</si>
  <si>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</si>
  <si>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</si>
  <si>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</si>
  <si>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</si>
  <si>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</si>
  <si>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</si>
  <si>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</si>
  <si>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</si>
  <si>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</si>
  <si>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</si>
  <si>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</si>
  <si>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</si>
  <si>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</si>
  <si>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</si>
  <si>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</si>
  <si>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</si>
  <si>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</si>
  <si>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</si>
  <si>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</si>
  <si>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</si>
  <si>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</si>
  <si>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</si>
  <si>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</si>
  <si>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</si>
  <si>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</si>
  <si>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</si>
  <si>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</si>
  <si>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</si>
  <si>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</si>
  <si>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</si>
  <si>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</si>
  <si>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</si>
  <si>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</si>
  <si>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</si>
  <si>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</si>
  <si>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</si>
  <si>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</si>
  <si>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</si>
  <si>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</si>
  <si>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</si>
  <si>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</si>
  <si>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</si>
  <si>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</si>
  <si>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</si>
  <si>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</si>
  <si>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</si>
  <si>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</si>
  <si>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</si>
  <si>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</si>
  <si>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</si>
  <si>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</si>
  <si>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</si>
  <si>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</si>
  <si>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</si>
  <si>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</si>
  <si>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</si>
  <si>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</si>
  <si>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</si>
  <si>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</si>
  <si>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</si>
  <si>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</si>
  <si>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</si>
  <si>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</si>
  <si>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</si>
  <si>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</si>
  <si>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</si>
  <si>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</si>
  <si>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</si>
  <si>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</si>
  <si>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</si>
  <si>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</si>
  <si>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</si>
  <si>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</si>
  <si>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</si>
  <si>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</si>
  <si>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</si>
  <si>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</si>
  <si>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</si>
  <si>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</si>
  <si>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</si>
  <si>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</si>
  <si>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</si>
  <si>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</si>
  <si>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</si>
  <si>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</si>
  <si>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</si>
  <si>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</si>
  <si>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</si>
  <si>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</si>
  <si>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</si>
  <si>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</si>
  <si>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</si>
  <si>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</si>
  <si>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</si>
  <si>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</si>
  <si>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</si>
  <si>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</si>
  <si>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</si>
  <si>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</si>
  <si>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</si>
  <si>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</si>
  <si>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</si>
  <si>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</si>
  <si>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</si>
  <si>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</si>
  <si>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</si>
  <si>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</si>
  <si>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</si>
  <si>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</si>
  <si>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</si>
  <si>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</si>
  <si>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</si>
  <si>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</si>
  <si>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</si>
  <si>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</si>
  <si>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</si>
  <si>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</si>
  <si>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</si>
  <si>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</si>
  <si>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</si>
  <si>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</si>
  <si>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</si>
  <si>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</si>
  <si>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</si>
  <si>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</si>
  <si>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</si>
  <si>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</si>
  <si>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</si>
  <si>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</si>
  <si>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</si>
  <si>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</si>
  <si>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</si>
  <si>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</si>
  <si>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</si>
  <si>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</si>
  <si>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</si>
  <si>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</si>
  <si>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</si>
  <si>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</si>
  <si>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</si>
  <si>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</si>
  <si>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</si>
  <si>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</si>
  <si>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</si>
  <si>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</si>
  <si>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</si>
  <si>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</si>
  <si>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</si>
  <si>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</si>
  <si>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</si>
  <si>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</si>
  <si>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</si>
  <si>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</si>
  <si>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</si>
  <si>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</si>
  <si>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</si>
  <si>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</si>
  <si>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</si>
  <si>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</si>
  <si>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</si>
  <si>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</si>
  <si>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</si>
  <si>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</si>
  <si>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</si>
  <si>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</si>
  <si>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</si>
  <si>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</si>
  <si>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</si>
  <si>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</si>
  <si>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</si>
  <si>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</si>
  <si>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</si>
  <si>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</si>
  <si>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</si>
  <si>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</si>
  <si>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</si>
  <si>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</si>
  <si>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</si>
  <si>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</si>
  <si>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</si>
  <si>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</si>
  <si>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</si>
  <si>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</si>
  <si>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</si>
  <si>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</si>
  <si>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</si>
  <si>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</si>
  <si>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</si>
  <si>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</si>
  <si>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</si>
  <si>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</si>
  <si>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</si>
  <si>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</si>
  <si>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</si>
  <si>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</si>
  <si>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</si>
  <si>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</si>
  <si>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</si>
  <si>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</si>
  <si>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</si>
  <si>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</si>
  <si>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</si>
  <si>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</si>
  <si>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</si>
  <si>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</si>
  <si>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</si>
  <si>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</si>
  <si>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</si>
  <si>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</si>
  <si>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</si>
  <si>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</si>
  <si>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</si>
  <si>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</si>
  <si>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</si>
  <si>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</si>
  <si>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</si>
  <si>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</si>
  <si>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</si>
  <si>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</si>
  <si>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</si>
  <si>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</si>
  <si>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</si>
  <si>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</si>
  <si>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</si>
  <si>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</si>
  <si>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</si>
  <si>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</si>
  <si>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</si>
  <si>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</si>
  <si>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</si>
  <si>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</si>
  <si>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</si>
  <si>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</si>
  <si>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</si>
  <si>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</si>
  <si>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</si>
  <si>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</si>
  <si>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</si>
  <si>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</si>
  <si>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</si>
  <si>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</si>
  <si>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</si>
  <si>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</si>
  <si>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</si>
  <si>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</si>
  <si>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</si>
  <si>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</si>
  <si>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</si>
  <si>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</si>
  <si>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</si>
  <si>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</si>
  <si>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</si>
  <si>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</si>
  <si>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</si>
  <si>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</si>
  <si>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</si>
  <si>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</si>
  <si>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</si>
  <si>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</si>
  <si>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</si>
  <si>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</si>
  <si>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</si>
  <si>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</si>
  <si>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</si>
  <si>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</si>
  <si>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</si>
  <si>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</si>
  <si>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</si>
  <si>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</si>
  <si>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</si>
  <si>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</si>
  <si>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</si>
  <si>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</si>
  <si>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</si>
  <si>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</si>
  <si>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</si>
  <si>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</si>
  <si>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</si>
  <si>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</si>
  <si>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</si>
  <si>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</si>
  <si>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</si>
  <si>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</si>
  <si>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</si>
  <si>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</si>
  <si>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</si>
  <si>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</si>
  <si>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</si>
  <si>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</si>
  <si>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</si>
  <si>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</si>
  <si>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</si>
  <si>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</si>
  <si>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</si>
  <si>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</si>
  <si>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</si>
  <si>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</si>
  <si>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</si>
  <si>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</si>
  <si>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</si>
  <si>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</si>
  <si>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</si>
  <si>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</si>
  <si>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</si>
  <si>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</si>
  <si>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</si>
  <si>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</si>
  <si>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</si>
  <si>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</si>
  <si>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</si>
  <si>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</si>
  <si>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</si>
  <si>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</si>
  <si>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</si>
  <si>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</si>
  <si>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</si>
  <si>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</si>
  <si>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</si>
  <si>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</si>
  <si>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</si>
  <si>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</si>
  <si>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</si>
  <si>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</si>
  <si>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</si>
  <si>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</si>
  <si>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</si>
  <si>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</si>
  <si>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</si>
  <si>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</si>
  <si>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</si>
  <si>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</si>
  <si>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</si>
  <si>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</si>
  <si>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</si>
  <si>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</si>
  <si>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</si>
  <si>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</si>
  <si>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</si>
  <si>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</si>
  <si>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</si>
  <si>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</si>
  <si>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</si>
  <si>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</si>
  <si>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</si>
  <si>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</si>
  <si>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</si>
  <si>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</si>
  <si>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</si>
  <si>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</si>
  <si>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</si>
  <si>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</si>
  <si>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</si>
  <si>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</si>
  <si>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</si>
  <si>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</si>
  <si>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</si>
  <si>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</si>
  <si>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</si>
  <si>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</si>
  <si>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</si>
  <si>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</si>
  <si>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</si>
  <si>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</si>
  <si>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</si>
  <si>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</si>
  <si>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</si>
  <si>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</si>
  <si>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</si>
  <si>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</si>
  <si>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</si>
  <si>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</si>
  <si>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</si>
  <si>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</si>
  <si>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</si>
  <si>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</si>
  <si>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</si>
  <si>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</si>
  <si>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</si>
  <si>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</si>
  <si>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</si>
  <si>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</si>
  <si>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</si>
  <si>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</si>
  <si>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</si>
  <si>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</si>
  <si>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</si>
  <si>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</si>
  <si>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</si>
  <si>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</si>
  <si>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</si>
  <si>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</si>
  <si>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</si>
  <si>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</si>
  <si>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</si>
  <si>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</si>
  <si>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</si>
  <si>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</si>
  <si>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</si>
  <si>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</si>
  <si>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</si>
  <si>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</si>
  <si>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</si>
  <si>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</si>
  <si>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</si>
  <si>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</si>
  <si>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</si>
  <si>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</si>
  <si>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</si>
  <si>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</si>
  <si>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</si>
  <si>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</si>
  <si>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</si>
  <si>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</si>
  <si>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</si>
  <si>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</si>
  <si>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</si>
  <si>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</si>
  <si>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</si>
  <si>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</si>
  <si>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</si>
  <si>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</si>
  <si>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</si>
  <si>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</si>
  <si>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</si>
  <si>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</si>
  <si>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</si>
  <si>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</si>
  <si>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</si>
  <si>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</si>
  <si>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</si>
  <si>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</si>
  <si>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</si>
  <si>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</si>
  <si>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</si>
  <si>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</si>
  <si>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</si>
  <si>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</si>
  <si>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</si>
  <si>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</si>
  <si>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</si>
  <si>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</si>
  <si>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</si>
  <si>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</si>
  <si>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</si>
  <si>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</si>
  <si>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</si>
  <si>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</si>
  <si>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</si>
  <si>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</si>
  <si>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</si>
  <si>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</si>
  <si>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</si>
  <si>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</si>
  <si>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</si>
  <si>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</si>
  <si>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</si>
  <si>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</si>
  <si>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</si>
  <si>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</si>
  <si>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</si>
  <si>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</si>
  <si>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</si>
  <si>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</si>
  <si>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</si>
  <si>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</si>
  <si>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</si>
  <si>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</si>
  <si>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</si>
  <si>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</si>
  <si>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</si>
  <si>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</si>
  <si>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</si>
  <si>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</si>
  <si>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</si>
  <si>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</si>
  <si>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</si>
  <si>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</si>
  <si>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</si>
  <si>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</si>
  <si>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</si>
  <si>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</si>
  <si>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</si>
  <si>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</si>
  <si>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</si>
  <si>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</si>
  <si>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</si>
  <si>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</si>
  <si>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</si>
  <si>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</si>
  <si>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</si>
  <si>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</si>
  <si>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</si>
  <si>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</si>
  <si>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</si>
  <si>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</si>
  <si>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</si>
  <si>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</si>
  <si>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</si>
  <si>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</si>
  <si>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</si>
  <si>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</si>
  <si>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</si>
  <si>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</si>
  <si>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</si>
  <si>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</si>
  <si>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</si>
  <si>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</si>
  <si>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</si>
  <si>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</si>
  <si>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</si>
  <si>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</si>
  <si>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</si>
  <si>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</si>
  <si>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</si>
  <si>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</si>
  <si>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</si>
  <si>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</si>
  <si>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</si>
  <si>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</si>
  <si>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</si>
  <si>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</si>
  <si>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</si>
  <si>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</si>
  <si>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</si>
  <si>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</si>
  <si>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</si>
  <si>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</si>
  <si>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</si>
  <si>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</si>
  <si>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</si>
  <si>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</si>
  <si>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</si>
  <si>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</si>
  <si>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</si>
  <si>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</si>
  <si>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</si>
  <si>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</si>
  <si>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</si>
  <si>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</si>
  <si>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</si>
  <si>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</si>
  <si>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</si>
  <si>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</si>
  <si>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</si>
  <si>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</si>
  <si>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</si>
  <si>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</si>
  <si>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</si>
  <si>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</si>
  <si>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</si>
  <si>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</si>
  <si>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</si>
  <si>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</si>
  <si>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</si>
  <si>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</si>
  <si>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</si>
  <si>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</si>
  <si>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</si>
  <si>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</si>
  <si>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</si>
  <si>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</si>
  <si>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</si>
  <si>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</si>
  <si>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</si>
  <si>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</si>
  <si>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</si>
  <si>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</si>
  <si>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</si>
  <si>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</si>
  <si>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</si>
  <si>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</si>
  <si>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</si>
  <si>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</si>
  <si>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</si>
  <si>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</si>
  <si>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</si>
  <si>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</si>
  <si>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</si>
  <si>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</si>
  <si>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</si>
  <si>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</si>
  <si>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</si>
  <si>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</si>
  <si>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</si>
  <si>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</si>
  <si>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</si>
  <si>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</si>
  <si>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</si>
  <si>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</si>
  <si>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</si>
  <si>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</si>
  <si>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</si>
  <si>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</si>
  <si>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</si>
  <si>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</si>
  <si>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</si>
  <si>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</si>
  <si>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</si>
  <si>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</si>
  <si>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</si>
  <si>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</si>
  <si>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</si>
  <si>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</si>
  <si>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</si>
  <si>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</si>
  <si>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</si>
  <si>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</si>
  <si>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</si>
  <si>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</si>
  <si>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</si>
  <si>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</si>
  <si>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</si>
  <si>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</si>
  <si>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</si>
  <si>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</si>
  <si>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</si>
  <si>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</si>
  <si>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</si>
  <si>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</si>
  <si>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</si>
  <si>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</si>
  <si>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</si>
  <si>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</si>
  <si>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</si>
  <si>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</si>
  <si>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</si>
  <si>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</si>
  <si>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</si>
  <si>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</si>
  <si>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</si>
  <si>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</si>
  <si>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</si>
  <si>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</si>
  <si>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</si>
  <si>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</si>
  <si>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</si>
  <si>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</si>
  <si>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</si>
  <si>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</si>
  <si>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</si>
  <si>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</si>
  <si>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</si>
  <si>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</si>
  <si>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</si>
  <si>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</si>
  <si>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</si>
  <si>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</si>
  <si>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</si>
  <si>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</si>
  <si>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</si>
  <si>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</si>
  <si>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</si>
  <si>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</si>
  <si>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</si>
  <si>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</si>
  <si>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</si>
  <si>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</si>
  <si>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</si>
  <si>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</si>
  <si>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</si>
  <si>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</si>
  <si>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</si>
  <si>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</si>
  <si>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</si>
  <si>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</si>
  <si>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</si>
  <si>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</si>
  <si>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</si>
  <si>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</si>
  <si>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</si>
  <si>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</si>
  <si>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</si>
  <si>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</si>
  <si>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</si>
  <si>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</si>
  <si>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</si>
  <si>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</si>
  <si>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</si>
  <si>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</si>
  <si>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</si>
  <si>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</si>
  <si>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</si>
  <si>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</si>
  <si>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</si>
  <si>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</si>
  <si>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</si>
  <si>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</si>
  <si>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</si>
  <si>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</si>
  <si>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</si>
  <si>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</si>
  <si>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</si>
  <si>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</si>
  <si>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</si>
  <si>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</si>
  <si>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</si>
  <si>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</si>
  <si>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</si>
  <si>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</si>
  <si>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</si>
  <si>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</si>
  <si>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</si>
  <si>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</si>
  <si>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</si>
  <si>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</si>
  <si>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</si>
  <si>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</si>
  <si>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</si>
  <si>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</si>
  <si>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</si>
  <si>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</si>
  <si>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</si>
  <si>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</si>
  <si>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</si>
  <si>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</si>
  <si>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</si>
  <si>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</si>
  <si>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</si>
  <si>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</si>
  <si>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</si>
  <si>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</si>
  <si>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</si>
  <si>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</si>
  <si>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</si>
  <si>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</si>
  <si>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</si>
  <si>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</si>
  <si>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</si>
  <si>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</si>
  <si>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</si>
  <si>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</si>
  <si>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</si>
  <si>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</si>
  <si>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</si>
  <si>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</si>
  <si>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</si>
  <si>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</si>
  <si>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</si>
  <si>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</si>
  <si>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</si>
  <si>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</si>
  <si>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</si>
  <si>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</si>
  <si>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</si>
  <si>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</si>
  <si>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</si>
  <si>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</si>
  <si>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</si>
  <si>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</si>
  <si>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</si>
  <si>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</si>
  <si>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</si>
  <si>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</si>
  <si>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</si>
  <si>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</si>
  <si>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</si>
  <si>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</si>
  <si>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</si>
  <si>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</si>
  <si>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</si>
  <si>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</si>
  <si>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</si>
  <si>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</si>
  <si>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</si>
  <si>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</si>
  <si>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</si>
  <si>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</si>
  <si>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</si>
  <si>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</si>
  <si>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</si>
  <si>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</si>
  <si>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</si>
  <si>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</si>
  <si>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</si>
  <si>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</si>
  <si>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</si>
  <si>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</si>
  <si>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</si>
  <si>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</si>
  <si>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</si>
  <si>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</si>
  <si>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</si>
  <si>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</si>
  <si>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</si>
  <si>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</si>
  <si>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</si>
  <si>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</si>
  <si>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</si>
  <si>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</si>
  <si>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</si>
  <si>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</si>
  <si>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</si>
  <si>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</si>
  <si>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</si>
  <si>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</si>
  <si>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</si>
  <si>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</si>
  <si>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</si>
  <si>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</si>
  <si>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</si>
  <si>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</si>
  <si>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</si>
  <si>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</si>
  <si>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</si>
  <si>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</si>
  <si>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</si>
  <si>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</si>
  <si>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</si>
  <si>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</si>
  <si>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</si>
  <si>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</si>
  <si>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</si>
  <si>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</si>
  <si>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</si>
  <si>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</si>
  <si>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</si>
  <si>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</si>
  <si>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</si>
  <si>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</si>
  <si>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</si>
  <si>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</si>
  <si>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</si>
  <si>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</si>
  <si>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</si>
  <si>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</si>
  <si>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</si>
  <si>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</si>
  <si>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</si>
  <si>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</si>
  <si>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</si>
  <si>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</si>
  <si>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</si>
  <si>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</si>
  <si>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</si>
  <si>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</si>
  <si>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</si>
  <si>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</si>
  <si>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</si>
  <si>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</si>
  <si>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</si>
  <si>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</si>
  <si>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</si>
  <si>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</si>
  <si>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</si>
  <si>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</si>
  <si>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</si>
  <si>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</si>
  <si>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</si>
  <si>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</si>
  <si>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</si>
  <si>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</si>
  <si>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</si>
  <si>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</si>
  <si>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</si>
  <si>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</si>
  <si>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</si>
  <si>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</si>
  <si>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</si>
  <si>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</si>
  <si>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</si>
  <si>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</si>
  <si>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</si>
  <si>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</si>
  <si>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</si>
  <si>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</si>
  <si>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</si>
  <si>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</si>
  <si>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</si>
  <si>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</si>
  <si>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</si>
  <si>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</si>
  <si>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</si>
  <si>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</si>
  <si>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</si>
  <si>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</si>
  <si>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</si>
  <si>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</si>
  <si>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</si>
  <si>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</si>
  <si>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</si>
  <si>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</si>
  <si>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</si>
  <si>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</si>
  <si>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</si>
  <si>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</si>
  <si>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</si>
  <si>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</si>
  <si>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</si>
  <si>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</si>
  <si>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</si>
  <si>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</si>
  <si>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</si>
  <si>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</si>
  <si>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</si>
  <si>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</si>
  <si>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</si>
  <si>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</si>
  <si>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</si>
  <si>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</si>
  <si>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</si>
  <si>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</si>
  <si>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</si>
  <si>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</si>
  <si>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</si>
  <si>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</si>
  <si>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</si>
  <si>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</si>
  <si>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</si>
  <si>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</si>
  <si>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</si>
  <si>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</si>
  <si>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</si>
  <si>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</si>
  <si>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</si>
  <si>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</si>
  <si>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</si>
  <si>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</si>
  <si>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</si>
  <si>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</si>
  <si>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</si>
  <si>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</si>
  <si>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</si>
  <si>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</si>
  <si>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</si>
  <si>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</si>
  <si>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</si>
  <si>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</si>
  <si>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</si>
  <si>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</si>
  <si>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</si>
  <si>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</si>
  <si>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</si>
  <si>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</si>
  <si>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</si>
  <si>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</si>
  <si>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</si>
  <si>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</si>
  <si>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</si>
  <si>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</si>
  <si>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</si>
  <si>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</si>
  <si>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</si>
  <si>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</si>
  <si>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</si>
  <si>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</si>
  <si>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</si>
  <si>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</si>
  <si>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</si>
  <si>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</si>
  <si>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</si>
  <si>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</si>
  <si>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</si>
  <si>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</si>
  <si>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</si>
  <si>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</si>
  <si>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</si>
  <si>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</si>
  <si>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</si>
  <si>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</si>
  <si>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</si>
  <si>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</si>
  <si>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</si>
  <si>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</si>
  <si>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</si>
  <si>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</si>
  <si>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</si>
  <si>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</si>
  <si>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</si>
  <si>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</si>
  <si>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</si>
  <si>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</si>
  <si>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</si>
  <si>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</si>
  <si>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</si>
  <si>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</si>
  <si>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</si>
  <si>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</si>
  <si>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</si>
  <si>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</si>
  <si>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</si>
  <si>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</si>
  <si>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</si>
  <si>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</si>
  <si>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</si>
  <si>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</si>
  <si>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</si>
  <si>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</si>
  <si>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</si>
  <si>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</si>
  <si>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</si>
  <si>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</si>
  <si>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</si>
  <si>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</si>
  <si>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</si>
  <si>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</si>
  <si>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</si>
  <si>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</si>
  <si>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</si>
  <si>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</si>
  <si>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</si>
  <si>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</si>
  <si>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</si>
  <si>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</si>
  <si>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</si>
  <si>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</si>
  <si>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</si>
  <si>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</si>
  <si>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</si>
  <si>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</si>
  <si>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</si>
  <si>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</si>
  <si>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</si>
  <si>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</si>
  <si>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</si>
  <si>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</si>
  <si>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</si>
  <si>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</si>
  <si>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</si>
  <si>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</si>
  <si>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</si>
  <si>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</si>
  <si>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</si>
  <si>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</si>
  <si>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</si>
  <si>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</si>
  <si>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</si>
  <si>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</si>
  <si>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</si>
  <si>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</si>
  <si>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</si>
  <si>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</si>
  <si>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</si>
  <si>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</si>
  <si>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</si>
  <si>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</si>
  <si>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</si>
  <si>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</si>
  <si>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</si>
  <si>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</si>
  <si>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</si>
  <si>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</si>
  <si>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</si>
  <si>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</si>
  <si>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</si>
  <si>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</si>
  <si>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</si>
  <si>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</si>
  <si>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</si>
  <si>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</si>
  <si>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</si>
  <si>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</si>
  <si>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</si>
  <si>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</si>
  <si>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</si>
  <si>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</si>
  <si>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</si>
  <si>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</si>
  <si>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</si>
  <si>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</si>
  <si>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</si>
  <si>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</si>
  <si>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</si>
  <si>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</si>
  <si>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</si>
  <si>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</si>
  <si>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</si>
  <si>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</si>
  <si>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</si>
  <si>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</si>
  <si>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</si>
  <si>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</si>
  <si>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</si>
  <si>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</si>
  <si>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</si>
  <si>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</si>
  <si>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</si>
  <si>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</si>
  <si>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</si>
  <si>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</si>
  <si>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</si>
  <si>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</si>
  <si>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</si>
  <si>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</si>
  <si>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</si>
  <si>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</si>
  <si>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</si>
  <si>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</si>
  <si>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</si>
  <si>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</si>
  <si>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</si>
  <si>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</si>
  <si>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</si>
  <si>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</si>
  <si>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</si>
  <si>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</si>
  <si>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</si>
  <si>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</si>
  <si>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</si>
  <si>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</si>
  <si>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</si>
  <si>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</si>
  <si>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</si>
  <si>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</si>
  <si>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</si>
  <si>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</si>
  <si>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</si>
  <si>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</si>
  <si>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</si>
  <si>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</si>
  <si>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</si>
  <si>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</si>
  <si>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</si>
  <si>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</si>
  <si>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</si>
  <si>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</si>
  <si>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</si>
  <si>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</si>
  <si>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</si>
  <si>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</si>
  <si>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</si>
  <si>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</si>
  <si>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</si>
  <si>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</si>
  <si>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</si>
  <si>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</si>
  <si>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</si>
  <si>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</si>
  <si>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</si>
  <si>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</si>
  <si>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</si>
  <si>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</si>
  <si>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</si>
  <si>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</si>
  <si>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</si>
  <si>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</si>
  <si>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</si>
  <si>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</si>
  <si>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</si>
  <si>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</si>
  <si>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</si>
  <si>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</si>
  <si>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</si>
  <si>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</si>
  <si>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</si>
  <si>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</si>
  <si>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</si>
  <si>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</si>
  <si>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</si>
  <si>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</si>
  <si>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</si>
  <si>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</si>
  <si>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</si>
  <si>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</si>
  <si>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</si>
  <si>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</si>
  <si>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</si>
  <si>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</si>
  <si>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</si>
  <si>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</si>
  <si>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</si>
  <si>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</si>
  <si>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</si>
  <si>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</si>
  <si>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</si>
  <si>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</si>
  <si>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</si>
  <si>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</si>
  <si>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</si>
  <si>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</si>
  <si>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</si>
  <si>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</si>
  <si>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</si>
  <si>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</si>
  <si>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</si>
  <si>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</si>
  <si>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</si>
  <si>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</si>
  <si>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</si>
  <si>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</si>
  <si>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</si>
  <si>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</si>
  <si>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</si>
  <si>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</si>
  <si>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</si>
  <si>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</si>
  <si>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</si>
  <si>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</si>
  <si>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</si>
  <si>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</si>
  <si>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</si>
  <si>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</si>
  <si>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</si>
  <si>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</si>
  <si>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</si>
  <si>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</si>
  <si>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</si>
  <si>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</si>
  <si>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</si>
  <si>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</si>
  <si>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</si>
  <si>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</si>
  <si>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</si>
  <si>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</si>
  <si>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</si>
  <si>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</si>
  <si>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</si>
  <si>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</si>
  <si>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</si>
  <si>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</si>
  <si>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</si>
  <si>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</si>
  <si>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</si>
  <si>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</si>
  <si>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</si>
  <si>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</si>
  <si>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</si>
  <si>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</si>
  <si>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</si>
  <si>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</si>
  <si>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</si>
  <si>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</si>
  <si>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</si>
  <si>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</si>
  <si>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</si>
  <si>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</si>
  <si>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</si>
  <si>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</si>
  <si>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</si>
  <si>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</si>
  <si>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</si>
  <si>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</si>
  <si>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</si>
  <si>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</si>
  <si>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</si>
  <si>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</si>
  <si>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</si>
  <si>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</si>
  <si>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</si>
  <si>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</si>
  <si>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</si>
  <si>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</si>
  <si>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</si>
  <si>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</si>
  <si>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</si>
  <si>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</si>
  <si>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</si>
  <si>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</si>
  <si>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</si>
  <si>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</si>
  <si>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</si>
  <si>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</si>
  <si>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</si>
  <si>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</si>
  <si>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</si>
  <si>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</si>
  <si>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</si>
  <si>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</si>
  <si>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</si>
  <si>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</si>
  <si>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</si>
  <si>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</si>
  <si>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</si>
  <si>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</si>
  <si>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</si>
  <si>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</si>
  <si>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</si>
  <si>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</si>
  <si>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</si>
  <si>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</si>
  <si>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</si>
  <si>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</si>
  <si>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</si>
  <si>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</si>
  <si>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</si>
  <si>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</si>
  <si>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</si>
  <si>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</si>
  <si>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</si>
  <si>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</si>
  <si>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</si>
  <si>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</si>
  <si>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</si>
  <si>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</si>
  <si>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</si>
  <si>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</si>
  <si>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</si>
  <si>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</si>
  <si>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</si>
  <si>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</si>
  <si>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</si>
  <si>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</si>
  <si>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</si>
  <si>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</si>
  <si>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</si>
  <si>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</si>
  <si>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</si>
  <si>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</si>
  <si>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</si>
  <si>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</si>
  <si>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</si>
  <si>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</si>
  <si>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</si>
  <si>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</si>
  <si>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</si>
  <si>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</si>
  <si>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</si>
  <si>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</si>
  <si>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</si>
  <si>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</si>
  <si>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</si>
  <si>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</si>
  <si>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</si>
  <si>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</si>
  <si>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</si>
  <si>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</si>
  <si>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</si>
  <si>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</si>
  <si>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</si>
  <si>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</si>
  <si>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</si>
  <si>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</si>
  <si>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</si>
  <si>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</si>
  <si>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</si>
  <si>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</si>
  <si>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</si>
  <si>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</si>
  <si>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</si>
  <si>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</si>
  <si>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</si>
  <si>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</si>
  <si>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</si>
  <si>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</si>
  <si>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</si>
  <si>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</si>
  <si>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</si>
  <si>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</si>
  <si>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</si>
  <si>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</si>
  <si>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</si>
  <si>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</si>
  <si>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</si>
  <si>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</si>
  <si>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</si>
  <si>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</si>
  <si>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</si>
  <si>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</si>
  <si>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</si>
  <si>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</si>
  <si>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</si>
  <si>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</si>
  <si>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</si>
  <si>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</si>
  <si>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</si>
  <si>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</si>
  <si>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</si>
  <si>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</si>
  <si>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</si>
  <si>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</si>
  <si>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</si>
  <si>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</si>
  <si>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</si>
  <si>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</si>
  <si>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</si>
  <si>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</si>
  <si>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</si>
  <si>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</si>
  <si>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</si>
  <si>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</si>
  <si>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</si>
  <si>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</si>
  <si>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</si>
  <si>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</si>
  <si>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</si>
  <si>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</si>
  <si>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</si>
  <si>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</si>
  <si>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</si>
  <si>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</si>
  <si>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</si>
  <si>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</si>
  <si>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</si>
  <si>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</si>
  <si>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</si>
  <si>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</si>
  <si>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</si>
  <si>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</si>
  <si>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</si>
  <si>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</si>
  <si>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</si>
  <si>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</si>
  <si>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</si>
  <si>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</si>
  <si>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</si>
  <si>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</si>
  <si>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</si>
  <si>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</si>
  <si>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</si>
  <si>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</si>
  <si>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</si>
  <si>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</si>
  <si>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</si>
  <si>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</si>
  <si>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</si>
  <si>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</si>
  <si>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</si>
  <si>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</si>
  <si>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</si>
  <si>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</si>
  <si>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</si>
  <si>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</si>
  <si>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</si>
  <si>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</si>
  <si>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</si>
  <si>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</si>
  <si>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</si>
  <si>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</si>
  <si>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</si>
  <si>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</si>
  <si>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</si>
  <si>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</si>
  <si>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</si>
  <si>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</si>
  <si>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</si>
  <si>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</si>
  <si>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</si>
  <si>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</si>
  <si>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</si>
  <si>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</si>
  <si>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</si>
  <si>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</si>
  <si>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</si>
  <si>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</si>
  <si>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</si>
  <si>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</si>
  <si>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</si>
  <si>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</si>
  <si>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</si>
  <si>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</si>
  <si>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</si>
  <si>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</si>
  <si>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</si>
  <si>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</si>
  <si>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</si>
  <si>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</si>
  <si>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</si>
  <si>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</si>
  <si>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</si>
  <si>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</si>
  <si>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</si>
  <si>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</si>
  <si>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</si>
  <si>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</si>
  <si>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</si>
  <si>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</si>
  <si>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</si>
  <si>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</si>
  <si>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</si>
  <si>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</si>
  <si>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</si>
  <si>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</si>
  <si>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</si>
  <si>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</si>
  <si>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</si>
  <si>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</si>
  <si>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</si>
  <si>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</si>
  <si>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</si>
  <si>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</si>
  <si>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</si>
  <si>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</si>
  <si>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</si>
  <si>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</si>
  <si>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</si>
  <si>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</si>
  <si>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</si>
  <si>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</si>
  <si>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</si>
  <si>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</si>
  <si>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</si>
  <si>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</si>
  <si>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</si>
  <si>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</si>
  <si>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</si>
  <si>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</si>
  <si>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</si>
  <si>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</si>
  <si>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</si>
  <si>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</si>
  <si>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</si>
  <si>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</si>
  <si>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</si>
  <si>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</si>
  <si>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</si>
  <si>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</si>
  <si>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</si>
  <si>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</si>
  <si>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</si>
  <si>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</si>
  <si>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</si>
  <si>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</si>
  <si>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</si>
  <si>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</si>
  <si>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</si>
  <si>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</si>
  <si>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</si>
  <si>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</si>
  <si>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</si>
  <si>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</si>
  <si>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</si>
  <si>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</si>
  <si>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</si>
  <si>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</si>
  <si>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</si>
  <si>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</si>
  <si>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</si>
  <si>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</si>
  <si>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</si>
  <si>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</si>
  <si>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</si>
  <si>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</si>
  <si>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</si>
  <si>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</si>
  <si>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</si>
  <si>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</si>
  <si>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</si>
  <si>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</si>
  <si>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</si>
  <si>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</si>
  <si>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</si>
  <si>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</si>
  <si>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</si>
  <si>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</si>
  <si>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</si>
  <si>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</si>
  <si>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</si>
  <si>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</si>
  <si>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</si>
  <si>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</si>
  <si>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</si>
  <si>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</si>
  <si>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</si>
  <si>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</si>
  <si>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</si>
  <si>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</si>
  <si>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</si>
  <si>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</si>
  <si>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</si>
  <si>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</si>
  <si>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</si>
  <si>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</si>
  <si>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</si>
  <si>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</si>
  <si>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</si>
  <si>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</si>
  <si>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</si>
  <si>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</si>
  <si>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</si>
  <si>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</si>
  <si>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</si>
  <si>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</si>
  <si>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</si>
  <si>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</si>
  <si>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</si>
  <si>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</si>
  <si>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</si>
  <si>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</si>
  <si>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</si>
  <si>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</si>
  <si>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</si>
  <si>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</si>
  <si>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</si>
  <si>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</si>
  <si>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</si>
  <si>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</si>
  <si>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</si>
  <si>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</si>
  <si>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</si>
  <si>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</si>
  <si>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</si>
  <si>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</si>
  <si>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</si>
  <si>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</si>
  <si>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</si>
  <si>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</si>
  <si>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</si>
  <si>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</si>
  <si>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</si>
  <si>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</si>
  <si>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</si>
  <si>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</si>
  <si>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</si>
  <si>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</si>
  <si>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</si>
  <si>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</si>
  <si>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</si>
  <si>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</si>
  <si>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</si>
  <si>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</si>
  <si>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</si>
  <si>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</si>
  <si>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</si>
  <si>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</si>
  <si>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</si>
  <si>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</si>
  <si>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</si>
  <si>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</si>
  <si>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</si>
  <si>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</si>
  <si>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</si>
  <si>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</si>
  <si>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</si>
  <si>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</si>
  <si>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</si>
  <si>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</si>
  <si>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</si>
  <si>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</si>
  <si>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</si>
  <si>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</si>
  <si>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</si>
  <si>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</si>
  <si>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</si>
  <si>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</si>
  <si>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</si>
  <si>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</si>
  <si>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</si>
  <si>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</si>
  <si>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</si>
  <si>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</si>
  <si>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</si>
  <si>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</si>
  <si>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</si>
  <si>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</si>
  <si>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</si>
  <si>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</si>
  <si>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</si>
  <si>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</si>
  <si>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</si>
  <si>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</si>
  <si>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</si>
  <si>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</si>
  <si>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</si>
  <si>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</si>
  <si>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</si>
  <si>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</si>
  <si>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</si>
  <si>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</si>
  <si>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</si>
  <si>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</si>
  <si>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</si>
  <si>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</si>
  <si>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</si>
  <si>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</si>
  <si>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</si>
  <si>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</si>
  <si>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</si>
  <si>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</si>
  <si>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</si>
  <si>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</si>
  <si>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</si>
  <si>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</si>
  <si>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</si>
  <si>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</si>
  <si>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</si>
  <si>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</si>
  <si>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</si>
  <si>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</si>
  <si>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</si>
  <si>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</si>
  <si>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</si>
  <si>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</si>
  <si>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</si>
  <si>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</si>
  <si>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</si>
  <si>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</si>
  <si>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</si>
  <si>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</si>
  <si>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</si>
  <si>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</si>
  <si>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</si>
  <si>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</si>
  <si>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</si>
  <si>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</si>
  <si>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</si>
  <si>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</si>
  <si>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</si>
  <si>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</si>
  <si>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</si>
  <si>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</si>
  <si>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</si>
  <si>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</si>
  <si>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</si>
  <si>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</si>
  <si>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</si>
  <si>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</si>
  <si>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</si>
  <si>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</si>
  <si>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</si>
  <si>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</si>
  <si>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</si>
  <si>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</si>
  <si>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</si>
  <si>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</si>
  <si>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</si>
  <si>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</si>
  <si>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</si>
  <si>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</si>
  <si>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</si>
  <si>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</si>
  <si>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</si>
  <si>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</si>
  <si>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</si>
  <si>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</si>
  <si>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</si>
  <si>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</si>
  <si>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</si>
  <si>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</si>
  <si>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</si>
  <si>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</si>
  <si>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</si>
  <si>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</si>
  <si>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</si>
  <si>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</si>
  <si>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</si>
  <si>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</si>
  <si>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</si>
  <si>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</si>
  <si>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</si>
  <si>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</si>
  <si>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</si>
  <si>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</si>
  <si>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</si>
  <si>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</si>
  <si>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</si>
  <si>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</si>
  <si>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</si>
  <si>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</si>
  <si>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</si>
  <si>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</si>
  <si>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</si>
  <si>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</si>
  <si>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</si>
  <si>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</si>
  <si>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</si>
  <si>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</si>
  <si>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</si>
  <si>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</si>
  <si>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</si>
  <si>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</si>
  <si>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</si>
  <si>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</si>
  <si>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</si>
  <si>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</si>
  <si>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</si>
  <si>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</si>
  <si>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</si>
  <si>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</si>
  <si>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</si>
  <si>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</si>
  <si>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</si>
  <si>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</si>
  <si>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</si>
  <si>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</si>
  <si>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</si>
  <si>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</si>
  <si>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</si>
  <si>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</si>
  <si>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</si>
  <si>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</si>
  <si>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</si>
  <si>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</si>
  <si>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</si>
  <si>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</si>
  <si>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</si>
  <si>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</si>
  <si>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</si>
  <si>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</si>
  <si>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</si>
  <si>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</si>
  <si>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</si>
  <si>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</si>
  <si>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</si>
  <si>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</si>
  <si>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</si>
  <si>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</si>
  <si>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</si>
  <si>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</si>
  <si>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</si>
  <si>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</si>
  <si>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</si>
  <si>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</si>
  <si>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</si>
  <si>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</si>
  <si>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</si>
  <si>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</si>
  <si>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</si>
  <si>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</si>
  <si>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</si>
  <si>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</si>
  <si>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</si>
  <si>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</si>
  <si>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</si>
  <si>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</si>
  <si>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</si>
  <si>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</si>
  <si>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</si>
  <si>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</si>
  <si>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</si>
  <si>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</si>
  <si>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</si>
  <si>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</si>
  <si>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</si>
  <si>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</si>
  <si>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</si>
  <si>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</si>
  <si>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</si>
  <si>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</si>
  <si>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</si>
  <si>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</si>
  <si>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</si>
  <si>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</si>
  <si>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</si>
  <si>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</si>
  <si>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</si>
  <si>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</si>
  <si>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</si>
  <si>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</si>
  <si>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</si>
  <si>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</si>
  <si>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</si>
  <si>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</si>
  <si>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</si>
  <si>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</si>
  <si>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</si>
  <si>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</si>
  <si>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</si>
  <si>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</si>
  <si>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</si>
  <si>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</si>
  <si>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</si>
  <si>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</si>
  <si>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</si>
  <si>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</si>
  <si>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</si>
  <si>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</si>
  <si>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</si>
  <si>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</si>
  <si>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</si>
  <si>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</si>
  <si>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</si>
  <si>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</si>
  <si>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</si>
  <si>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</si>
  <si>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</si>
  <si>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</si>
  <si>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</si>
  <si>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</si>
  <si>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</si>
  <si>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</si>
  <si>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</si>
  <si>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</si>
  <si>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</si>
  <si>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</si>
  <si>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</si>
  <si>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</si>
  <si>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</si>
  <si>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</si>
  <si>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</si>
  <si>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</si>
  <si>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</si>
  <si>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</si>
  <si>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</si>
  <si>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</si>
  <si>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</si>
  <si>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</si>
  <si>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</si>
  <si>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</si>
  <si>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</si>
  <si>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</si>
  <si>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</si>
  <si>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</si>
  <si>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</si>
  <si>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</si>
  <si>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</si>
  <si>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</si>
  <si>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</si>
  <si>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</si>
  <si>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</si>
  <si>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</si>
  <si>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</si>
  <si>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</si>
  <si>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</si>
  <si>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</si>
  <si>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</si>
  <si>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</si>
  <si>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</si>
  <si>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</si>
  <si>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</si>
  <si>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</si>
  <si>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</si>
  <si>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</si>
  <si>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</si>
  <si>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</si>
  <si>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</si>
  <si>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</si>
  <si>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</si>
  <si>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</si>
  <si>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</si>
  <si>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</si>
  <si>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</si>
  <si>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</si>
  <si>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</si>
  <si>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</si>
  <si>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</si>
  <si>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</si>
  <si>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</si>
  <si>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</si>
  <si>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</si>
  <si>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</si>
  <si>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</si>
  <si>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</si>
  <si>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</si>
  <si>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</si>
  <si>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</si>
  <si>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</si>
  <si>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</si>
  <si>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</si>
  <si>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</si>
  <si>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</si>
  <si>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</si>
  <si>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</si>
  <si>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</si>
  <si>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</si>
  <si>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</si>
  <si>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</si>
  <si>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</si>
  <si>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</si>
  <si>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</si>
  <si>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</si>
  <si>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</si>
  <si>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</si>
  <si>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</si>
  <si>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</si>
  <si>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</si>
  <si>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</si>
  <si>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</si>
  <si>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</si>
  <si>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</si>
  <si>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</si>
  <si>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</si>
  <si>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</si>
  <si>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</si>
  <si>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</si>
  <si>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</si>
  <si>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</si>
  <si>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</si>
  <si>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</si>
  <si>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</si>
  <si>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</si>
  <si>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</si>
  <si>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</si>
  <si>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</si>
  <si>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</si>
  <si>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</si>
  <si>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</si>
  <si>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</si>
  <si>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</si>
  <si>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</si>
  <si>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</si>
  <si>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</si>
  <si>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</si>
  <si>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</si>
  <si>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</si>
  <si>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</si>
  <si>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</si>
  <si>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</si>
  <si>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</si>
  <si>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</si>
  <si>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</si>
  <si>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</si>
  <si>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</si>
  <si>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</si>
  <si>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</si>
  <si>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</si>
  <si>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</si>
  <si>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</si>
  <si>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</si>
  <si>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</si>
  <si>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</si>
  <si>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</si>
  <si>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</si>
  <si>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</si>
  <si>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</si>
  <si>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</si>
  <si>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</si>
  <si>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</si>
  <si>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</si>
  <si>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</si>
  <si>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</si>
  <si>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</si>
  <si>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</si>
  <si>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</si>
  <si>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</si>
  <si>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</si>
  <si>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</si>
  <si>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</si>
  <si>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</si>
  <si>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</si>
  <si>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</si>
  <si>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</si>
  <si>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</si>
  <si>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</si>
  <si>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</si>
  <si>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</si>
  <si>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</si>
  <si>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</si>
  <si>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</si>
  <si>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</si>
  <si>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</si>
  <si>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</si>
  <si>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</si>
  <si>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</si>
  <si>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</si>
  <si>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</si>
  <si>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</si>
  <si>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</si>
  <si>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</si>
  <si>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</si>
  <si>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</si>
  <si>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</si>
  <si>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</si>
  <si>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</si>
  <si>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</si>
  <si>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</si>
  <si>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</si>
  <si>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</si>
  <si>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</si>
  <si>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</si>
  <si>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</si>
  <si>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</si>
  <si>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</si>
  <si>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</si>
  <si>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</si>
  <si>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</si>
  <si>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</si>
  <si>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</si>
  <si>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</si>
  <si>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</si>
  <si>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</si>
  <si>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</si>
  <si>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</si>
  <si>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</si>
  <si>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</si>
  <si>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</si>
  <si>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</si>
  <si>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</si>
  <si>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</si>
  <si>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</si>
  <si>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</si>
  <si>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</si>
  <si>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</si>
  <si>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</si>
  <si>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</si>
  <si>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</si>
  <si>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</si>
  <si>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</si>
  <si>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</si>
  <si>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</si>
  <si>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</si>
  <si>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</si>
  <si>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</si>
  <si>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</si>
  <si>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</si>
  <si>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</si>
  <si>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</si>
  <si>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</si>
  <si>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</si>
  <si>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</si>
  <si>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</si>
  <si>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</si>
  <si>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</si>
  <si>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</si>
  <si>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</si>
  <si>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</si>
  <si>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</si>
  <si>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</si>
  <si>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</si>
  <si>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</si>
  <si>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</si>
  <si>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</si>
  <si>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</si>
  <si>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</si>
  <si>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</si>
  <si>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</si>
  <si>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</si>
  <si>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</si>
  <si>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</si>
  <si>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</si>
  <si>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</si>
  <si>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</si>
  <si>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</si>
  <si>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</si>
  <si>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</si>
  <si>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</si>
  <si>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</si>
  <si>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</si>
  <si>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</si>
  <si>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</si>
  <si>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</si>
  <si>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</si>
  <si>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</si>
  <si>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</si>
  <si>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</si>
  <si>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</si>
  <si>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</si>
  <si>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</si>
  <si>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</si>
  <si>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</si>
  <si>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</si>
  <si>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</si>
  <si>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</si>
  <si>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</si>
  <si>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</si>
  <si>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</si>
  <si>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</si>
  <si>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</si>
  <si>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</si>
  <si>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</si>
  <si>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</si>
  <si>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</si>
  <si>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</si>
  <si>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</si>
  <si>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</si>
  <si>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</si>
  <si>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</si>
  <si>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</si>
  <si>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</si>
  <si>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</si>
  <si>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</si>
  <si>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</si>
  <si>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</si>
  <si>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</si>
  <si>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</si>
  <si>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</si>
  <si>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</si>
  <si>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</si>
  <si>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</si>
  <si>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</si>
  <si>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</si>
  <si>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</si>
  <si>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</si>
  <si>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</si>
  <si>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</si>
  <si>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</si>
  <si>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</si>
  <si>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</si>
  <si>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</si>
  <si>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</si>
  <si>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</si>
  <si>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</si>
  <si>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</si>
  <si>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</si>
  <si>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</si>
  <si>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</si>
  <si>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</si>
  <si>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</si>
  <si>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</si>
  <si>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</si>
  <si>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</si>
  <si>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</si>
  <si>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</si>
  <si>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</si>
  <si>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</si>
  <si>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</si>
  <si>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</si>
  <si>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</si>
  <si>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</si>
  <si>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</si>
  <si>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</si>
  <si>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</si>
  <si>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</si>
  <si>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</si>
  <si>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</si>
  <si>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</si>
  <si>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</si>
  <si>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</si>
  <si>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</si>
  <si>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</si>
  <si>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</si>
  <si>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</si>
  <si>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</si>
  <si>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</si>
  <si>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</si>
  <si>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</si>
  <si>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</si>
  <si>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</si>
  <si>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</si>
  <si>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</si>
  <si>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</si>
  <si>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</si>
  <si>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</si>
  <si>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</si>
  <si>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</si>
  <si>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</si>
  <si>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</si>
  <si>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</si>
  <si>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</si>
  <si>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</si>
  <si>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</si>
  <si>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</si>
  <si>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</si>
  <si>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</si>
  <si>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</si>
  <si>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</si>
  <si>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</si>
  <si>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</si>
  <si>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</si>
  <si>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</si>
  <si>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</si>
  <si>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</si>
  <si>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</si>
  <si>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</si>
  <si>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</si>
  <si>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</si>
  <si>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</si>
  <si>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</si>
  <si>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</si>
  <si>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</si>
  <si>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</si>
  <si>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</si>
  <si>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</si>
  <si>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</si>
  <si>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</si>
  <si>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</si>
  <si>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</si>
  <si>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</si>
  <si>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</si>
  <si>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</si>
  <si>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</si>
  <si>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</si>
  <si>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</si>
  <si>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</si>
  <si>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</si>
  <si>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</si>
  <si>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</si>
  <si>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</si>
  <si>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</si>
  <si>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</si>
  <si>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</si>
  <si>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</si>
  <si>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</si>
  <si>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</si>
  <si>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</si>
  <si>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</si>
  <si>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</si>
  <si>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</si>
  <si>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</si>
  <si>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</si>
  <si>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</si>
  <si>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</si>
  <si>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</si>
  <si>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</si>
  <si>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</si>
  <si>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</si>
  <si>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</si>
  <si>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</si>
  <si>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</si>
  <si>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</si>
  <si>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</si>
  <si>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</si>
  <si>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</si>
  <si>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</si>
  <si>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</si>
  <si>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</si>
  <si>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</si>
  <si>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</si>
  <si>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</si>
  <si>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</si>
  <si>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</si>
  <si>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</si>
  <si>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</si>
  <si>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</si>
  <si>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</si>
  <si>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</si>
  <si>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</si>
  <si>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</si>
  <si>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</si>
  <si>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</si>
  <si>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</si>
  <si>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</si>
  <si>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</si>
  <si>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</si>
  <si>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</si>
  <si>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</si>
  <si>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</si>
  <si>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</si>
  <si>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</si>
  <si>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</si>
  <si>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</si>
  <si>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</si>
  <si>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</si>
  <si>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</si>
  <si>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</si>
  <si>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</si>
  <si>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</si>
  <si>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</si>
  <si>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</si>
  <si>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</si>
  <si>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</si>
  <si>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</si>
  <si>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</si>
  <si>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</si>
  <si>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</si>
  <si>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</si>
  <si>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</si>
  <si>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</si>
  <si>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</si>
  <si>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</si>
  <si>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</si>
  <si>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</si>
  <si>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</si>
  <si>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</si>
  <si>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</si>
  <si>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</si>
  <si>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</si>
  <si>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</si>
  <si>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</si>
  <si>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</si>
  <si>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</si>
  <si>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</si>
  <si>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</si>
  <si>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</si>
  <si>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</si>
  <si>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</si>
  <si>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</si>
  <si>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</si>
  <si>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</si>
  <si>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</si>
  <si>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</si>
  <si>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</si>
  <si>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</si>
  <si>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</si>
  <si>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</si>
  <si>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</si>
  <si>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</si>
  <si>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</si>
  <si>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</si>
  <si>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</si>
  <si>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</si>
  <si>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</si>
  <si>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</si>
  <si>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</si>
  <si>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</si>
  <si>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</si>
  <si>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</si>
  <si>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</si>
  <si>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</si>
  <si>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</si>
  <si>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</si>
  <si>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</si>
  <si>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</si>
  <si>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</si>
  <si>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</si>
  <si>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</si>
  <si>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</si>
  <si>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</si>
  <si>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</si>
  <si>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</si>
  <si>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</si>
  <si>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</si>
  <si>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</si>
  <si>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</si>
  <si>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</si>
  <si>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</si>
  <si>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</si>
  <si>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</si>
  <si>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</si>
  <si>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</si>
  <si>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</si>
  <si>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</si>
  <si>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</si>
  <si>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</si>
  <si>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</si>
  <si>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</si>
  <si>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</si>
  <si>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</si>
  <si>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</si>
  <si>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</si>
  <si>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</si>
  <si>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</si>
  <si>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</si>
  <si>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</si>
  <si>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</si>
  <si>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</si>
  <si>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</si>
  <si>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</si>
  <si>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</si>
  <si>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</si>
  <si>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</si>
  <si>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</si>
  <si>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</si>
  <si>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</si>
  <si>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</si>
  <si>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</si>
  <si>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</si>
  <si>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</si>
  <si>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</si>
  <si>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</si>
  <si>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</si>
  <si>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</si>
  <si>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</si>
  <si>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</si>
  <si>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</si>
  <si>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</si>
  <si>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</si>
  <si>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</si>
  <si>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</si>
  <si>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</si>
  <si>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</si>
  <si>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</si>
  <si>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</si>
  <si>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</si>
  <si>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</si>
  <si>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</si>
  <si>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</si>
  <si>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</si>
  <si>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</si>
  <si>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</si>
  <si>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</si>
  <si>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</si>
  <si>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</si>
  <si>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</si>
  <si>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</si>
  <si>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</si>
  <si>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</si>
  <si>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</si>
  <si>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</si>
  <si>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</si>
  <si>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</si>
  <si>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</si>
  <si>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</si>
  <si>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</si>
  <si>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</si>
  <si>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</si>
  <si>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</si>
  <si>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</si>
  <si>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</si>
  <si>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</si>
  <si>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</si>
  <si>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</si>
  <si>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</si>
  <si>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</si>
  <si>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</si>
  <si>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</si>
  <si>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</si>
  <si>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</si>
  <si>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</si>
  <si>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</si>
  <si>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</si>
  <si>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</si>
  <si>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</si>
  <si>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</si>
  <si>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</si>
  <si>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</si>
  <si>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</si>
  <si>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</si>
  <si>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</si>
  <si>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</si>
  <si>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</si>
  <si>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</si>
  <si>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</si>
  <si>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</si>
  <si>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</si>
  <si>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</si>
  <si>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</si>
  <si>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</si>
  <si>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</si>
  <si>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</si>
  <si>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</si>
  <si>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</si>
  <si>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</si>
  <si>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</si>
  <si>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</si>
  <si>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</si>
  <si>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</si>
  <si>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</si>
  <si>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</si>
  <si>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</si>
  <si>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</si>
  <si>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</si>
  <si>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</si>
  <si>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</si>
  <si>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</si>
  <si>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</si>
  <si>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</si>
  <si>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</si>
  <si>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</si>
  <si>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</si>
  <si>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</si>
  <si>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</si>
  <si>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</si>
  <si>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</si>
  <si>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</si>
  <si>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</si>
  <si>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</si>
  <si>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</si>
  <si>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</si>
  <si>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</si>
  <si>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</si>
  <si>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</si>
  <si>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</si>
  <si>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</si>
  <si>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</si>
  <si>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</si>
  <si>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</si>
  <si>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</si>
  <si>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</si>
  <si>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</si>
  <si>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</si>
  <si>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</si>
  <si>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</si>
  <si>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</si>
  <si>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</si>
  <si>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</si>
  <si>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</si>
  <si>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</si>
  <si>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</si>
  <si>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</si>
  <si>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</si>
  <si>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</si>
  <si>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</si>
  <si>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</si>
  <si>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</si>
  <si>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</si>
  <si>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</si>
  <si>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</si>
  <si>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</si>
  <si>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</si>
  <si>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</si>
  <si>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</si>
  <si>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</si>
  <si>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</si>
  <si>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</si>
  <si>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</si>
  <si>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</si>
  <si>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</si>
  <si>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</si>
  <si>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</si>
  <si>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</si>
  <si>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</si>
  <si>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</si>
  <si>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</si>
  <si>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</si>
  <si>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</si>
  <si>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</si>
  <si>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</si>
  <si>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</si>
  <si>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</si>
  <si>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</si>
  <si>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</si>
  <si>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</si>
  <si>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</si>
  <si>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</si>
  <si>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</si>
  <si>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</si>
  <si>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</si>
  <si>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</si>
  <si>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</si>
  <si>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</si>
  <si>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</si>
  <si>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</si>
  <si>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</si>
  <si>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</si>
  <si>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</si>
  <si>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</si>
  <si>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</si>
  <si>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</si>
  <si>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</si>
  <si>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</si>
  <si>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</si>
  <si>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</si>
  <si>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</si>
  <si>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</si>
  <si>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</si>
  <si>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</si>
  <si>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</si>
  <si>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</si>
  <si>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</si>
  <si>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</si>
  <si>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</si>
  <si>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</si>
  <si>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</si>
  <si>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</si>
  <si>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</si>
  <si>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</si>
  <si>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</si>
  <si>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</si>
  <si>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</si>
  <si>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</si>
  <si>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</si>
  <si>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</si>
  <si>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</si>
  <si>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</si>
  <si>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</si>
  <si>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</si>
  <si>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</si>
  <si>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</si>
  <si>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</si>
  <si>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</si>
  <si>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</si>
  <si>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</si>
  <si>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</si>
  <si>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</si>
  <si>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</si>
  <si>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</si>
  <si>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</si>
  <si>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</si>
  <si>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</si>
  <si>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</si>
  <si>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</si>
  <si>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</si>
  <si>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</si>
  <si>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</si>
  <si>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</si>
  <si>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</si>
  <si>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</si>
  <si>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</si>
  <si>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</si>
  <si>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</si>
  <si>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</si>
  <si>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</si>
  <si>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</si>
  <si>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</si>
  <si>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</si>
  <si>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</si>
  <si>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</si>
  <si>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</si>
  <si>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</si>
  <si>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</si>
  <si>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</si>
  <si>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</si>
  <si>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</si>
  <si>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</si>
  <si>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</si>
  <si>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</si>
  <si>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</si>
  <si>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</si>
  <si>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</si>
  <si>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</si>
  <si>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</si>
  <si>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</si>
  <si>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</si>
  <si>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</si>
  <si>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</si>
  <si>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</si>
  <si>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</si>
  <si>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</si>
  <si>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</si>
  <si>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</si>
  <si>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</si>
  <si>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</si>
  <si>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</si>
  <si>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</si>
  <si>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</si>
  <si>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</si>
  <si>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</si>
  <si>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</si>
  <si>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</si>
  <si>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</si>
  <si>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</si>
  <si>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</si>
  <si>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</si>
  <si>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</si>
  <si>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</si>
  <si>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</si>
  <si>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</si>
  <si>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</si>
  <si>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</si>
  <si>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</si>
  <si>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</si>
  <si>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</si>
  <si>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</si>
  <si>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</si>
  <si>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</si>
  <si>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</si>
  <si>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</si>
  <si>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</si>
  <si>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</si>
  <si>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</si>
  <si>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</si>
  <si>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</si>
  <si>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</si>
  <si>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</si>
  <si>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</si>
  <si>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</si>
  <si>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</si>
  <si>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</si>
  <si>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</si>
  <si>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</si>
  <si>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</si>
  <si>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</si>
  <si>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</si>
  <si>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</si>
  <si>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</si>
  <si>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</si>
  <si>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</si>
  <si>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</si>
  <si>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</si>
  <si>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</si>
  <si>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</si>
  <si>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</si>
  <si>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</si>
  <si>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</si>
  <si>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</si>
  <si>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</si>
  <si>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</si>
  <si>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</si>
  <si>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</si>
  <si>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</si>
  <si>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</si>
  <si>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</si>
  <si>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</si>
  <si>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</si>
  <si>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</si>
  <si>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</si>
  <si>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</si>
  <si>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</si>
  <si>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</si>
  <si>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</si>
  <si>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</si>
  <si>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</si>
  <si>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</si>
  <si>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</si>
  <si>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</si>
  <si>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</si>
  <si>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</si>
  <si>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</si>
  <si>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</si>
  <si>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</si>
  <si>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</si>
  <si>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</si>
  <si>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</si>
  <si>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</si>
  <si>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</si>
  <si>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</si>
  <si>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</si>
  <si>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</si>
  <si>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</si>
  <si>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</si>
  <si>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</si>
  <si>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</si>
  <si>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</si>
  <si>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</si>
  <si>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</si>
  <si>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</si>
  <si>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</si>
  <si>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</si>
  <si>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</si>
  <si>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</si>
  <si>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</si>
  <si>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</si>
  <si>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</si>
  <si>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</si>
  <si>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</si>
  <si>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</si>
  <si>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</si>
  <si>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</si>
  <si>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</si>
  <si>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</si>
  <si>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</si>
  <si>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</si>
  <si>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</si>
  <si>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</si>
  <si>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</si>
  <si>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</si>
  <si>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</si>
  <si>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</si>
  <si>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</si>
  <si>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</si>
  <si>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</si>
  <si>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</si>
  <si>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</si>
  <si>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</si>
  <si>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</si>
  <si>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</si>
  <si>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</si>
  <si>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</si>
  <si>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</si>
  <si>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</si>
  <si>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</si>
  <si>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</si>
  <si>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</si>
  <si>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</si>
  <si>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</si>
  <si>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</si>
  <si>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</si>
  <si>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</si>
  <si>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</si>
  <si>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</si>
  <si>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</si>
  <si>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</si>
  <si>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</si>
  <si>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</si>
  <si>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</si>
  <si>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</si>
  <si>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</si>
  <si>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</si>
  <si>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</si>
  <si>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</si>
  <si>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</si>
  <si>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</si>
  <si>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</si>
  <si>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</si>
  <si>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</si>
  <si>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</si>
  <si>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</si>
  <si>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</si>
  <si>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</si>
  <si>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</si>
  <si>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</si>
  <si>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</si>
  <si>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</si>
  <si>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</si>
  <si>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</si>
  <si>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</si>
  <si>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</si>
  <si>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</si>
  <si>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</si>
  <si>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</si>
  <si>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</si>
  <si>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</si>
  <si>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</si>
  <si>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</si>
  <si>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</si>
  <si>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</si>
  <si>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</si>
  <si>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</si>
  <si>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</si>
  <si>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</si>
  <si>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</si>
  <si>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</si>
  <si>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</si>
  <si>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</si>
  <si>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</si>
  <si>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</si>
  <si>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</si>
  <si>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</si>
  <si>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</si>
  <si>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</si>
  <si>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</si>
  <si>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</si>
  <si>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</si>
  <si>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</si>
  <si>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</si>
  <si>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</si>
  <si>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</si>
  <si>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</si>
  <si>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</si>
  <si>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</si>
  <si>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</si>
  <si>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</si>
  <si>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</si>
  <si>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</si>
  <si>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</si>
  <si>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</si>
  <si>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</si>
  <si>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</si>
  <si>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</si>
  <si>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</si>
  <si>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</si>
  <si>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</si>
  <si>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</si>
  <si>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</si>
  <si>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</si>
  <si>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</si>
  <si>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</si>
  <si>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</si>
  <si>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</si>
  <si>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</si>
  <si>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</si>
  <si>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</si>
  <si>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</si>
  <si>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</si>
  <si>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</si>
  <si>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</si>
  <si>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</si>
  <si>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</si>
  <si>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</si>
  <si>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</si>
  <si>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</si>
  <si>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</si>
  <si>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</si>
  <si>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</si>
  <si>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</si>
  <si>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</si>
  <si>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</si>
  <si>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</si>
  <si>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</si>
  <si>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</si>
  <si>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</si>
  <si>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</si>
  <si>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</si>
  <si>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</si>
  <si>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</si>
  <si>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</si>
  <si>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</si>
  <si>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</si>
  <si>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</si>
  <si>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</si>
  <si>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</si>
  <si>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</si>
  <si>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</si>
  <si>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</si>
  <si>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</si>
  <si>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</si>
  <si>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</si>
  <si>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</si>
  <si>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</si>
  <si>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</si>
  <si>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</si>
  <si>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</si>
  <si>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</si>
  <si>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</si>
  <si>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</si>
  <si>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</si>
  <si>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</si>
  <si>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</si>
  <si>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</si>
  <si>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</si>
  <si>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</si>
  <si>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</si>
  <si>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</si>
  <si>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</si>
  <si>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</si>
  <si>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</si>
  <si>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</si>
  <si>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</si>
  <si>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</si>
  <si>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</si>
  <si>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</si>
  <si>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</si>
  <si>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</si>
  <si>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</si>
  <si>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</si>
  <si>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</si>
  <si>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</si>
  <si>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</si>
  <si>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</si>
  <si>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</si>
  <si>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</si>
  <si>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</si>
  <si>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</si>
  <si>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</si>
  <si>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</si>
  <si>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</si>
  <si>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</si>
  <si>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</si>
  <si>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</si>
  <si>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</si>
  <si>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</si>
  <si>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</si>
  <si>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</si>
  <si>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</si>
  <si>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</si>
  <si>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</si>
  <si>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</si>
  <si>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</si>
  <si>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</si>
  <si>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</si>
  <si>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</si>
  <si>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</si>
  <si>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</si>
  <si>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</si>
  <si>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</si>
  <si>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</si>
  <si>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</si>
  <si>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</si>
  <si>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</si>
  <si>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</si>
  <si>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</si>
  <si>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</si>
  <si>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</si>
  <si>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</si>
  <si>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</si>
  <si>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</si>
  <si>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</si>
  <si>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</si>
  <si>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</si>
  <si>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</si>
  <si>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</si>
  <si>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</si>
  <si>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</si>
  <si>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</si>
  <si>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</si>
  <si>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</si>
  <si>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</si>
  <si>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</si>
  <si>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</si>
  <si>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</si>
  <si>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</si>
  <si>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</si>
  <si>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</si>
  <si>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</si>
  <si>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</si>
  <si>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</si>
  <si>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</si>
  <si>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</si>
  <si>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</si>
  <si>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</si>
  <si>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</si>
  <si>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</si>
  <si>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</si>
  <si>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</si>
  <si>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</si>
  <si>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</si>
  <si>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</si>
  <si>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</si>
  <si>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</si>
  <si>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</si>
  <si>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</si>
  <si>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</si>
  <si>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</si>
  <si>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</si>
  <si>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</si>
  <si>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</si>
  <si>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</si>
  <si>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</si>
  <si>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</si>
  <si>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</si>
  <si>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</si>
  <si>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</si>
  <si>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</si>
  <si>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</si>
  <si>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</si>
  <si>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</si>
  <si>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</si>
  <si>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</si>
  <si>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</si>
  <si>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</si>
  <si>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</si>
  <si>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</si>
  <si>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</si>
  <si>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</si>
  <si>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</si>
  <si>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</si>
  <si>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</si>
  <si>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</si>
  <si>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</si>
  <si>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</si>
  <si>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</si>
  <si>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</si>
  <si>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</si>
  <si>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</si>
  <si>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</si>
  <si>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</si>
  <si>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</si>
  <si>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</si>
  <si>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</si>
  <si>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</si>
  <si>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</si>
  <si>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</si>
  <si>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</si>
  <si>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</si>
  <si>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</si>
  <si>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</si>
  <si>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</si>
  <si>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</si>
  <si>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</si>
  <si>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</si>
  <si>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</si>
  <si>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</si>
  <si>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</si>
  <si>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</si>
  <si>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</si>
  <si>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</si>
  <si>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</si>
  <si>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</si>
  <si>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</si>
  <si>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</si>
  <si>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</si>
  <si>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</si>
  <si>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</si>
  <si>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</si>
  <si>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</si>
  <si>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</si>
  <si>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</si>
  <si>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</si>
  <si>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</si>
  <si>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</si>
  <si>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</si>
  <si>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</si>
  <si>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</si>
  <si>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</si>
  <si>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</si>
  <si>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</si>
  <si>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</si>
  <si>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</si>
  <si>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</si>
  <si>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</si>
  <si>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</si>
  <si>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</si>
  <si>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</si>
  <si>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</si>
  <si>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</si>
  <si>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</si>
  <si>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</si>
  <si>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</si>
  <si>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</si>
  <si>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</si>
  <si>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</si>
  <si>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</si>
  <si>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</si>
  <si>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</si>
  <si>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</si>
  <si>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</si>
  <si>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</si>
  <si>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</si>
  <si>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</si>
  <si>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</si>
  <si>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</si>
  <si>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</si>
  <si>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</si>
  <si>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</si>
  <si>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</si>
  <si>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</si>
  <si>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</si>
  <si>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</si>
  <si>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</si>
  <si>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</si>
  <si>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</si>
  <si>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</si>
  <si>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</si>
  <si>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</si>
  <si>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</si>
  <si>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</si>
  <si>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</si>
  <si>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</si>
  <si>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</si>
  <si>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</si>
  <si>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</si>
  <si>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</si>
  <si>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</si>
  <si>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</si>
  <si>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</si>
  <si>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</si>
  <si>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</si>
  <si>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</si>
  <si>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</si>
  <si>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</si>
  <si>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</si>
  <si>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</si>
  <si>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</si>
  <si>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</si>
  <si>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</si>
  <si>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</si>
  <si>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</si>
  <si>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</si>
  <si>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</si>
  <si>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</si>
  <si>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</si>
  <si>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</si>
  <si>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</si>
  <si>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</si>
  <si>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</si>
  <si>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</si>
  <si>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</si>
  <si>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</si>
  <si>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</si>
  <si>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</si>
  <si>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</si>
  <si>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</si>
  <si>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</si>
  <si>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</si>
  <si>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</si>
  <si>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</si>
  <si>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</si>
  <si>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</si>
  <si>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</si>
  <si>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</si>
  <si>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</si>
  <si>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</si>
  <si>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</si>
  <si>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</si>
  <si>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</si>
  <si>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</si>
  <si>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</si>
  <si>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</si>
  <si>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</si>
  <si>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</si>
  <si>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</si>
  <si>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</si>
  <si>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</si>
  <si>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</si>
  <si>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</si>
  <si>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</si>
  <si>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</si>
  <si>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</si>
  <si>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</si>
  <si>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</si>
  <si>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</si>
  <si>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</si>
  <si>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</si>
  <si>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</si>
  <si>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</si>
  <si>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</si>
  <si>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</si>
  <si>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</si>
  <si>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</si>
  <si>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</si>
  <si>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</si>
  <si>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</si>
  <si>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</si>
  <si>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</si>
  <si>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</si>
  <si>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</si>
  <si>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</si>
  <si>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</si>
  <si>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</si>
  <si>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</si>
  <si>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</si>
  <si>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</si>
  <si>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</si>
  <si>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</si>
  <si>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</si>
  <si>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</si>
  <si>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</si>
  <si>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</si>
  <si>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</si>
  <si>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</si>
  <si>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</si>
  <si>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</si>
  <si>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</si>
  <si>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</si>
  <si>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</si>
  <si>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</si>
  <si>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</si>
  <si>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</si>
  <si>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</si>
  <si>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</si>
  <si>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</si>
  <si>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</si>
  <si>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</si>
  <si>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</si>
  <si>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</si>
  <si>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</si>
  <si>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</si>
  <si>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</si>
  <si>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</si>
  <si>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</si>
  <si>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</si>
  <si>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</si>
  <si>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</si>
  <si>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</si>
  <si>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</si>
  <si>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</si>
  <si>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</si>
  <si>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</si>
  <si>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</si>
  <si>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</si>
  <si>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</si>
  <si>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</si>
  <si>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</si>
  <si>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</si>
  <si>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</si>
  <si>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</si>
  <si>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</si>
  <si>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</si>
  <si>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</si>
  <si>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</si>
  <si>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</si>
  <si>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</si>
  <si>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</si>
  <si>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</si>
  <si>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</si>
  <si>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</si>
  <si>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</si>
  <si>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</si>
  <si>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</si>
  <si>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</si>
  <si>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</si>
  <si>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</si>
  <si>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</si>
  <si>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</si>
  <si>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</si>
  <si>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</si>
  <si>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</si>
  <si>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</si>
  <si>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</si>
  <si>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</si>
  <si>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</si>
  <si>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</si>
  <si>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</si>
  <si>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</si>
  <si>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</si>
  <si>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</si>
  <si>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</si>
  <si>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</si>
  <si>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</si>
  <si>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</si>
  <si>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</si>
  <si>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</si>
  <si>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</si>
  <si>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</si>
  <si>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</si>
  <si>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</si>
  <si>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</si>
  <si>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</si>
  <si>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</si>
  <si>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</si>
  <si>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</si>
  <si>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</si>
  <si>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</si>
  <si>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</si>
  <si>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</si>
  <si>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</si>
  <si>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</si>
  <si>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</si>
  <si>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</si>
  <si>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</si>
  <si>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</si>
  <si>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</si>
  <si>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</si>
  <si>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</si>
  <si>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</si>
  <si>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</si>
  <si>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</si>
  <si>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</si>
  <si>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</si>
  <si>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</si>
  <si>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</si>
  <si>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</si>
  <si>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</si>
  <si>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</si>
  <si>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</si>
  <si>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</si>
  <si>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</si>
  <si>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</si>
  <si>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</si>
  <si>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</si>
  <si>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</si>
  <si>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</si>
  <si>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</si>
  <si>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</si>
  <si>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</si>
  <si>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</si>
  <si>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</si>
  <si>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</si>
  <si>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</si>
  <si>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</si>
  <si>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</si>
  <si>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</si>
  <si>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</si>
  <si>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</si>
  <si>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</si>
  <si>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</si>
  <si>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</si>
  <si>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</si>
  <si>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</si>
  <si>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</si>
  <si>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</si>
  <si>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</si>
  <si>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</si>
  <si>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</si>
  <si>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</si>
  <si>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</si>
  <si>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</si>
  <si>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</si>
  <si>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</si>
  <si>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</si>
  <si>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</si>
  <si>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</si>
  <si>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</si>
  <si>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</si>
  <si>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</si>
  <si>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</si>
  <si>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</si>
  <si>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</si>
  <si>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</si>
  <si>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</si>
  <si>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</si>
  <si>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</si>
  <si>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</si>
  <si>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</si>
  <si>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</si>
  <si>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</si>
  <si>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</si>
  <si>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</si>
  <si>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</si>
  <si>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</si>
  <si>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</si>
  <si>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</si>
  <si>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</si>
  <si>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</si>
  <si>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</si>
  <si>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</si>
  <si>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</si>
  <si>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</si>
  <si>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</si>
  <si>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</si>
  <si>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</si>
  <si>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</si>
  <si>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</si>
  <si>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</si>
  <si>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</si>
  <si>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</si>
  <si>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</si>
  <si>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</si>
  <si>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</si>
  <si>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</si>
  <si>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</si>
  <si>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</si>
  <si>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</si>
  <si>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</si>
  <si>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</si>
  <si>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</si>
  <si>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</si>
  <si>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</si>
  <si>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</si>
  <si>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</si>
  <si>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</si>
  <si>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</si>
  <si>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</si>
  <si>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</si>
  <si>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</si>
  <si>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</si>
  <si>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</si>
  <si>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</si>
  <si>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</si>
  <si>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</si>
  <si>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</si>
  <si>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</si>
  <si>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</si>
  <si>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</si>
  <si>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</si>
  <si>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</si>
  <si>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</si>
  <si>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</si>
  <si>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</si>
  <si>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</si>
  <si>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</si>
  <si>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</si>
  <si>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</si>
  <si>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</si>
  <si>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</si>
  <si>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</si>
  <si>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</si>
  <si>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</si>
  <si>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</si>
  <si>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</si>
  <si>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</si>
  <si>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</si>
  <si>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</si>
  <si>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</si>
  <si>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</si>
  <si>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</si>
  <si>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</si>
  <si>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</si>
  <si>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</si>
  <si>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</si>
  <si>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</si>
  <si>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</si>
  <si>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</si>
  <si>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</si>
  <si>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</si>
  <si>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</si>
  <si>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</si>
  <si>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</si>
  <si>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</si>
  <si>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</si>
  <si>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</si>
  <si>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</si>
  <si>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</si>
  <si>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</si>
  <si>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</si>
  <si>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</si>
  <si>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</si>
  <si>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</si>
  <si>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</si>
  <si>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</si>
  <si>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</si>
  <si>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</si>
  <si>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</si>
  <si>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</si>
  <si>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</si>
  <si>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</si>
  <si>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</si>
  <si>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</si>
  <si>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</si>
  <si>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</si>
  <si>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</si>
  <si>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</si>
  <si>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</si>
  <si>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</si>
  <si>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</si>
  <si>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</si>
  <si>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</si>
  <si>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</si>
  <si>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</si>
  <si>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</si>
  <si>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</si>
  <si>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</si>
  <si>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</si>
  <si>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</si>
  <si>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</si>
  <si>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</si>
  <si>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</si>
  <si>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</si>
  <si>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</si>
  <si>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</si>
  <si>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</si>
  <si>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</si>
  <si>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</si>
  <si>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</si>
  <si>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</si>
  <si>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</si>
  <si>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</si>
  <si>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</si>
  <si>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</si>
  <si>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</si>
  <si>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</si>
  <si>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</si>
  <si>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</si>
  <si>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</si>
  <si>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</si>
  <si>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</si>
  <si>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</si>
  <si>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</si>
  <si>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</si>
  <si>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</si>
  <si>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</si>
  <si>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</si>
  <si>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</si>
  <si>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</si>
  <si>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</si>
  <si>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</si>
  <si>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</si>
  <si>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</si>
  <si>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</si>
  <si>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</si>
  <si>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</si>
  <si>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</si>
  <si>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</si>
  <si>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</si>
  <si>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</si>
  <si>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</si>
  <si>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</si>
  <si>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</si>
  <si>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</si>
  <si>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</si>
  <si>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</si>
  <si>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</si>
  <si>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</si>
  <si>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</si>
  <si>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</si>
  <si>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</si>
  <si>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</si>
  <si>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</si>
  <si>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</si>
  <si>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</si>
  <si>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</si>
  <si>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</si>
  <si>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</si>
  <si>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</si>
  <si>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</si>
  <si>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</si>
  <si>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</si>
  <si>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</si>
  <si>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</si>
  <si>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</si>
  <si>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</si>
  <si>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</si>
  <si>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</si>
  <si>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</si>
  <si>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</si>
  <si>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</si>
  <si>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</si>
  <si>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</si>
  <si>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</si>
  <si>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</si>
  <si>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</si>
  <si>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</si>
  <si>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</si>
  <si>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</si>
  <si>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</si>
  <si>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</si>
  <si>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</si>
  <si>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</si>
  <si>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</si>
  <si>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</si>
  <si>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</si>
  <si>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</si>
  <si>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</si>
  <si>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</si>
  <si>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</si>
  <si>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</si>
  <si>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</si>
  <si>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</si>
  <si>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</si>
  <si>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</si>
  <si>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</si>
  <si>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</si>
  <si>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</si>
  <si>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</si>
  <si>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</si>
  <si>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</si>
  <si>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</si>
  <si>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</si>
  <si>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</si>
  <si>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</si>
  <si>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</si>
  <si>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</si>
  <si>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</si>
  <si>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</si>
  <si>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</si>
  <si>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</si>
  <si>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</si>
  <si>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</si>
  <si>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</si>
  <si>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</si>
  <si>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</si>
  <si>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</si>
  <si>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</si>
  <si>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</si>
  <si>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</si>
  <si>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</si>
  <si>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</si>
  <si>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</si>
  <si>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</si>
  <si>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</si>
  <si>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</si>
  <si>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</si>
  <si>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</si>
  <si>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</si>
  <si>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</si>
  <si>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</si>
  <si>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</si>
  <si>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</si>
  <si>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</si>
  <si>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</si>
  <si>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</si>
  <si>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</si>
  <si>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</si>
  <si>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</si>
  <si>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</si>
  <si>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</si>
  <si>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</si>
  <si>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</si>
  <si>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</si>
  <si>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</si>
  <si>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</si>
  <si>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</si>
  <si>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</si>
  <si>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</si>
  <si>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</si>
  <si>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</si>
  <si>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</si>
  <si>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</si>
  <si>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</si>
  <si>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</si>
  <si>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</si>
  <si>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</si>
  <si>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</si>
  <si>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</si>
  <si>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</si>
  <si>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</si>
  <si>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</si>
  <si>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</si>
  <si>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</si>
  <si>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</si>
  <si>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</si>
  <si>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</si>
  <si>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</si>
  <si>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</si>
  <si>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</si>
  <si>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</si>
  <si>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</si>
  <si>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</si>
  <si>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</si>
  <si>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</si>
  <si>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</si>
  <si>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</si>
  <si>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</si>
  <si>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</si>
  <si>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</si>
  <si>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</si>
  <si>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</si>
  <si>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</si>
  <si>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</si>
  <si>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</si>
  <si>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</si>
  <si>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</si>
  <si>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</si>
  <si>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</si>
  <si>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</si>
  <si>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</si>
  <si>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</si>
  <si>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</si>
  <si>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</si>
  <si>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</si>
  <si>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</si>
  <si>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</si>
  <si>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</si>
  <si>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</si>
  <si>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</si>
  <si>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</si>
  <si>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</si>
  <si>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</si>
  <si>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</si>
  <si>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</si>
  <si>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</si>
  <si>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</si>
  <si>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</si>
  <si>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</si>
  <si>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</si>
  <si>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</si>
  <si>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</si>
  <si>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</si>
  <si>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</si>
  <si>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</si>
  <si>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</si>
  <si>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</si>
  <si>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</si>
  <si>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</si>
  <si>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</si>
  <si>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</si>
  <si>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</si>
  <si>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</si>
  <si>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</si>
  <si>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</si>
  <si>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</si>
  <si>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</si>
  <si>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</si>
  <si>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</si>
  <si>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</si>
  <si>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</si>
  <si>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</si>
  <si>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</si>
  <si>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</si>
  <si>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</si>
  <si>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</si>
  <si>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</si>
  <si>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</si>
  <si>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</si>
  <si>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</si>
  <si>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</si>
  <si>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</si>
  <si>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</si>
  <si>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</si>
  <si>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</si>
  <si>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</si>
  <si>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</si>
  <si>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</si>
  <si>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</si>
  <si>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</si>
  <si>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</si>
  <si>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</si>
  <si>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</si>
  <si>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</si>
  <si>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</si>
  <si>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</si>
  <si>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</si>
  <si>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</si>
  <si>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</si>
  <si>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</si>
  <si>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</si>
  <si>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</si>
  <si>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</si>
  <si>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</si>
  <si>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</si>
  <si>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</si>
  <si>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</si>
  <si>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</si>
  <si>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</si>
  <si>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</si>
  <si>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</si>
  <si>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</si>
  <si>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</si>
  <si>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</si>
  <si>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</si>
  <si>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</si>
  <si>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</si>
  <si>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</si>
  <si>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</si>
  <si>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</si>
  <si>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</si>
  <si>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</si>
  <si>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</si>
  <si>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</si>
  <si>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</si>
  <si>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</si>
  <si>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</si>
  <si>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</si>
  <si>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</si>
  <si>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</si>
  <si>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</si>
  <si>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</si>
  <si>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</si>
  <si>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</si>
  <si>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</si>
  <si>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</si>
  <si>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</si>
  <si>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</si>
  <si>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</si>
  <si>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</si>
  <si>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</si>
  <si>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</si>
  <si>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</si>
  <si>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</si>
  <si>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</si>
  <si>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</si>
  <si>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</si>
  <si>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</si>
  <si>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</si>
  <si>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</si>
  <si>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</si>
  <si>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</si>
  <si>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</si>
  <si>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</si>
  <si>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</si>
  <si>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</si>
  <si>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</si>
  <si>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</si>
  <si>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</si>
  <si>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</si>
  <si>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</si>
  <si>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</si>
  <si>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</si>
  <si>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</si>
  <si>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</si>
  <si>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</si>
  <si>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</si>
  <si>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</si>
  <si>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</si>
  <si>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</si>
  <si>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</si>
  <si>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</si>
  <si>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</si>
  <si>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</si>
  <si>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</si>
  <si>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</si>
  <si>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</si>
  <si>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</si>
  <si>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</si>
  <si>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</si>
  <si>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</si>
  <si>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</si>
  <si>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</si>
  <si>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</si>
  <si>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</si>
  <si>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</si>
  <si>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</si>
  <si>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</si>
  <si>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</si>
  <si>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</si>
  <si>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</si>
  <si>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</si>
  <si>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</si>
  <si>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</si>
  <si>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</si>
  <si>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</si>
  <si>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</si>
  <si>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</si>
  <si>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</si>
  <si>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</si>
  <si>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</si>
  <si>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</si>
  <si>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</si>
  <si>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</si>
  <si>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</si>
  <si>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</si>
  <si>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</si>
  <si>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</si>
  <si>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</si>
  <si>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</si>
  <si>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</si>
  <si>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</si>
  <si>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</si>
  <si>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</si>
  <si>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</si>
  <si>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</si>
  <si>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</si>
  <si>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</si>
  <si>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</si>
  <si>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</si>
  <si>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</si>
  <si>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</si>
  <si>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</si>
  <si>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</si>
  <si>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</si>
  <si>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</si>
  <si>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</si>
  <si>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</si>
  <si>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</si>
  <si>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</si>
  <si>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</si>
  <si>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</si>
  <si>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</si>
  <si>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</si>
  <si>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</si>
  <si>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</si>
  <si>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</si>
  <si>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</si>
  <si>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</si>
  <si>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</si>
  <si>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</si>
  <si>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</si>
  <si>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</si>
  <si>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</si>
  <si>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</si>
  <si>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</si>
  <si>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</si>
  <si>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</si>
  <si>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</si>
  <si>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</si>
  <si>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</si>
  <si>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</si>
  <si>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</si>
  <si>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</si>
  <si>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</si>
  <si>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</si>
  <si>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</si>
  <si>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</si>
  <si>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</si>
  <si>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</si>
  <si>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</si>
  <si>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</si>
  <si>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</si>
  <si>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</si>
  <si>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</si>
  <si>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</si>
  <si>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</si>
  <si>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</si>
  <si>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</si>
  <si>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</si>
  <si>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</si>
  <si>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</si>
  <si>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</si>
  <si>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</si>
  <si>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</si>
  <si>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</si>
  <si>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</si>
  <si>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</si>
  <si>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</si>
  <si>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</si>
  <si>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</si>
  <si>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</si>
  <si>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</si>
  <si>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</si>
  <si>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</si>
  <si>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</si>
  <si>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</si>
  <si>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</si>
  <si>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</si>
  <si>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</si>
  <si>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</si>
  <si>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</si>
  <si>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</si>
  <si>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</si>
  <si>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</si>
  <si>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</si>
  <si>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</si>
  <si>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</si>
  <si>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</si>
  <si>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</si>
  <si>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</si>
  <si>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</si>
  <si>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</si>
  <si>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</si>
  <si>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</si>
  <si>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</si>
  <si>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</si>
  <si>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</si>
  <si>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</si>
  <si>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</si>
  <si>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</si>
  <si>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</si>
  <si>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</si>
  <si>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</si>
  <si>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</si>
  <si>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</si>
  <si>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</si>
  <si>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</si>
  <si>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</si>
  <si>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</si>
  <si>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</si>
  <si>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</si>
  <si>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</si>
  <si>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</si>
  <si>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</si>
  <si>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</si>
  <si>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</si>
  <si>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</si>
  <si>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</si>
  <si>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</si>
  <si>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</si>
  <si>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</si>
  <si>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</si>
  <si>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</si>
  <si>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</si>
  <si>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</si>
  <si>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</si>
  <si>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</si>
  <si>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</si>
  <si>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</si>
  <si>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</si>
  <si>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</si>
  <si>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</si>
  <si>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</si>
  <si>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</si>
  <si>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</si>
  <si>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</si>
  <si>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</si>
  <si>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</si>
  <si>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</si>
  <si>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</si>
  <si>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</si>
  <si>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</si>
  <si>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</si>
  <si>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</si>
  <si>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</si>
  <si>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</si>
  <si>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</si>
  <si>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</si>
  <si>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</si>
  <si>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</si>
  <si>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</si>
  <si>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</si>
  <si>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</si>
  <si>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</si>
  <si>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</si>
  <si>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</si>
  <si>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</si>
  <si>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</si>
  <si>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</si>
  <si>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</si>
  <si>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</si>
  <si>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</si>
  <si>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</si>
  <si>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</si>
  <si>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</si>
  <si>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</si>
  <si>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</si>
  <si>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</si>
  <si>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</si>
  <si>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</si>
  <si>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</si>
  <si>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</si>
  <si>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</si>
  <si>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</si>
  <si>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</si>
  <si>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</si>
  <si>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</si>
  <si>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</si>
  <si>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</si>
  <si>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</si>
  <si>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</si>
  <si>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</si>
  <si>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</si>
  <si>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</si>
  <si>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</si>
  <si>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</si>
  <si>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</si>
  <si>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</si>
  <si>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</si>
  <si>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</si>
  <si>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</si>
  <si>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</si>
  <si>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</si>
  <si>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</si>
  <si>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</si>
  <si>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</si>
  <si>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</si>
  <si>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</si>
  <si>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</si>
  <si>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</si>
  <si>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</si>
  <si>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</si>
  <si>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</si>
  <si>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</si>
  <si>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</si>
  <si>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</si>
  <si>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</si>
  <si>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</si>
  <si>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</si>
  <si>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</si>
  <si>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</si>
  <si>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</si>
  <si>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</si>
  <si>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</si>
  <si>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</si>
  <si>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</si>
  <si>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</si>
  <si>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</si>
  <si>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</si>
  <si>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</si>
  <si>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</si>
  <si>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</si>
  <si>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</si>
  <si>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</si>
  <si>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</si>
  <si>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</si>
  <si>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</si>
  <si>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</si>
  <si>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</si>
  <si>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</si>
  <si>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</si>
  <si>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</si>
  <si>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</si>
  <si>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</si>
  <si>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</si>
  <si>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</si>
  <si>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</si>
  <si>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</si>
  <si>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</si>
  <si>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</si>
  <si>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</si>
  <si>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</si>
  <si>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</si>
  <si>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</si>
  <si>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</si>
  <si>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</si>
  <si>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</si>
  <si>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</si>
  <si>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</si>
  <si>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</si>
  <si>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</si>
  <si>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</si>
  <si>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</si>
  <si>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</si>
  <si>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</si>
  <si>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</si>
  <si>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</si>
  <si>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</si>
  <si>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</si>
  <si>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</si>
  <si>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</si>
  <si>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</si>
  <si>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</si>
  <si>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</si>
  <si>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</si>
  <si>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</si>
  <si>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</si>
  <si>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</si>
  <si>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</si>
  <si>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</si>
  <si>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</si>
  <si>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</si>
  <si>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</si>
  <si>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</si>
  <si>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</si>
  <si>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</si>
  <si>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</si>
  <si>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</si>
  <si>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</si>
  <si>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</si>
  <si>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</si>
  <si>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</si>
  <si>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</si>
  <si>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</si>
  <si>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</si>
  <si>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</si>
  <si>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</si>
  <si>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</si>
  <si>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</si>
  <si>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</si>
  <si>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</si>
  <si>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</si>
  <si>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</si>
  <si>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</si>
  <si>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</si>
  <si>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</si>
  <si>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</si>
  <si>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</si>
  <si>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</si>
  <si>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</si>
  <si>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</si>
  <si>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</si>
  <si>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</si>
  <si>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</si>
  <si>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</si>
  <si>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</si>
  <si>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</si>
  <si>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</si>
  <si>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</si>
  <si>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</si>
  <si>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</si>
  <si>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</si>
  <si>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</si>
  <si>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</si>
  <si>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</si>
  <si>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</si>
  <si>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</si>
  <si>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</si>
  <si>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</si>
  <si>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</si>
  <si>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</si>
  <si>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</si>
  <si>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</si>
  <si>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</si>
  <si>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</si>
  <si>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</si>
  <si>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</si>
  <si>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</si>
  <si>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</si>
  <si>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</si>
  <si>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</si>
  <si>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</si>
  <si>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</si>
  <si>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</si>
  <si>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</si>
  <si>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</si>
  <si>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</si>
  <si>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</si>
  <si>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</si>
  <si>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</si>
  <si>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</si>
  <si>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</si>
  <si>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</si>
  <si>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</si>
  <si>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</si>
  <si>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</si>
  <si>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</si>
  <si>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</si>
  <si>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</si>
  <si>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</si>
  <si>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</si>
  <si>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</si>
  <si>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</si>
  <si>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</si>
  <si>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</si>
  <si>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</si>
  <si>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</si>
  <si>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</si>
  <si>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</si>
  <si>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</si>
  <si>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</si>
  <si>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</si>
  <si>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</si>
  <si>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</si>
  <si>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</si>
  <si>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</si>
  <si>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</si>
  <si>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</si>
  <si>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</si>
  <si>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</si>
  <si>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</si>
  <si>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</si>
  <si>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</si>
  <si>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</si>
  <si>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</si>
  <si>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</si>
  <si>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</si>
  <si>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</si>
  <si>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</si>
  <si>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</si>
  <si>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</si>
  <si>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</si>
  <si>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</si>
  <si>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</si>
  <si>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</si>
  <si>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</si>
  <si>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</si>
  <si>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</si>
  <si>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</si>
  <si>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</si>
  <si>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</si>
  <si>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</si>
  <si>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</si>
  <si>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</si>
  <si>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</si>
  <si>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</si>
  <si>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</si>
  <si>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</si>
  <si>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</si>
  <si>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</si>
  <si>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</si>
  <si>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</si>
  <si>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</si>
  <si>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</si>
  <si>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</si>
  <si>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</si>
  <si>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</si>
  <si>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</si>
  <si>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</si>
  <si>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</si>
  <si>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</si>
  <si>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</si>
  <si>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</si>
  <si>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</si>
  <si>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</si>
  <si>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</si>
  <si>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</si>
  <si>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</si>
  <si>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</si>
  <si>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</si>
  <si>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</si>
  <si>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</si>
  <si>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</si>
  <si>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</si>
  <si>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</si>
  <si>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</si>
  <si>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</si>
  <si>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</si>
  <si>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</si>
  <si>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</si>
  <si>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</si>
  <si>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</si>
  <si>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</si>
  <si>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</si>
  <si>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</si>
  <si>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</si>
  <si>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</si>
  <si>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</si>
  <si>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</si>
  <si>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</si>
  <si>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</si>
  <si>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</si>
  <si>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</si>
  <si>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</si>
  <si>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</si>
  <si>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</si>
  <si>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</si>
  <si>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</si>
  <si>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</si>
  <si>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</si>
  <si>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</si>
  <si>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</si>
  <si>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</si>
  <si>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</si>
  <si>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</si>
  <si>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</si>
  <si>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</si>
  <si>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</si>
  <si>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</si>
  <si>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</si>
  <si>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</si>
  <si>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</si>
  <si>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</si>
  <si>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</si>
  <si>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</si>
  <si>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</si>
  <si>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</si>
  <si>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</si>
  <si>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</si>
  <si>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</si>
  <si>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</si>
  <si>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وغدیر 34939 تا 1218</t>
  </si>
  <si>
    <t>18/11/1400</t>
  </si>
  <si>
    <t>24/11/1400</t>
  </si>
  <si>
    <t>وغدیر 116424 تا 1293</t>
  </si>
  <si>
    <t>وغدیر 853 تا 1299</t>
  </si>
  <si>
    <t>https://player.arvancloud.com/index.html?config=https://classiran.arvanlive.com/vasepah/origin_config.json</t>
  </si>
  <si>
    <t>طلب نصف 43 قسط وام 50 میلیونی 23/11/1400</t>
  </si>
  <si>
    <t>طلب از حاج خانوم 8/12/1400</t>
  </si>
  <si>
    <t>بدهی به مهدی 8/12/1400 سود بانکی</t>
  </si>
  <si>
    <t>سود تقسیمی برای وسپه 1400</t>
  </si>
  <si>
    <t>7/12/1400</t>
  </si>
  <si>
    <t>وغدیر 64 تا 1275</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</si>
</sst>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44"/>
  <sheetViews>
    <sheetView topLeftCell="A148" zoomScale="85" zoomScaleNormal="85" workbookViewId="0">
      <selection activeCell="D173" sqref="D173"/>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O111" s="97" t="s">
        <v>5709</v>
      </c>
      <c r="P111" s="18">
        <v>2000000</v>
      </c>
      <c r="Q111" s="97">
        <v>11</v>
      </c>
      <c r="R111" s="97">
        <f t="shared" si="16"/>
        <v>404</v>
      </c>
      <c r="S111" s="97">
        <f t="shared" si="17"/>
        <v>808000000</v>
      </c>
      <c r="T111" s="97"/>
    </row>
    <row r="112" spans="1:28">
      <c r="O112" s="97" t="s">
        <v>5719</v>
      </c>
      <c r="P112" s="18">
        <v>-2000000</v>
      </c>
      <c r="Q112" s="97">
        <v>1</v>
      </c>
      <c r="R112" s="97">
        <f t="shared" si="16"/>
        <v>393</v>
      </c>
      <c r="S112" s="97">
        <f t="shared" si="17"/>
        <v>-786000000</v>
      </c>
      <c r="T112" s="97"/>
      <c r="V112" t="s">
        <v>25</v>
      </c>
    </row>
    <row r="113" spans="1:25">
      <c r="A113" s="288" t="s">
        <v>180</v>
      </c>
      <c r="B113" s="289" t="s">
        <v>5835</v>
      </c>
      <c r="C113" s="32" t="s">
        <v>5836</v>
      </c>
      <c r="D113" s="32" t="s">
        <v>5837</v>
      </c>
      <c r="E113" s="32" t="s">
        <v>5838</v>
      </c>
      <c r="F113" s="32" t="s">
        <v>5839</v>
      </c>
      <c r="G113" s="32" t="s">
        <v>5308</v>
      </c>
      <c r="H113" s="32" t="s">
        <v>5840</v>
      </c>
      <c r="I113" s="274" t="s">
        <v>5841</v>
      </c>
      <c r="O113" s="97" t="s">
        <v>5720</v>
      </c>
      <c r="P113" s="18">
        <v>-42203</v>
      </c>
      <c r="Q113" s="97">
        <v>2</v>
      </c>
      <c r="R113" s="97">
        <f t="shared" si="16"/>
        <v>392</v>
      </c>
      <c r="S113" s="97">
        <f t="shared" si="17"/>
        <v>-16543576</v>
      </c>
      <c r="T113" s="97" t="s">
        <v>5724</v>
      </c>
    </row>
    <row r="114" spans="1:25">
      <c r="A114" s="288" t="s">
        <v>4220</v>
      </c>
      <c r="B114" s="290">
        <v>70000000</v>
      </c>
      <c r="C114" s="291">
        <v>4400000</v>
      </c>
      <c r="D114" s="292">
        <f>B114/C114</f>
        <v>15.909090909090908</v>
      </c>
      <c r="E114" s="18">
        <v>190</v>
      </c>
      <c r="F114" s="32">
        <f>B114/E114</f>
        <v>368421.05263157893</v>
      </c>
      <c r="G114" s="32"/>
      <c r="H114" s="32"/>
      <c r="I114" s="205"/>
      <c r="O114" s="97" t="s">
        <v>5726</v>
      </c>
      <c r="P114" s="18">
        <v>-365000</v>
      </c>
      <c r="Q114" s="97">
        <v>5</v>
      </c>
      <c r="R114" s="97">
        <f t="shared" si="16"/>
        <v>390</v>
      </c>
      <c r="S114" s="97">
        <f t="shared" si="17"/>
        <v>-142350000</v>
      </c>
      <c r="T114" s="97" t="s">
        <v>5727</v>
      </c>
    </row>
    <row r="115" spans="1:25">
      <c r="A115" s="288" t="s">
        <v>4733</v>
      </c>
      <c r="B115" s="18"/>
      <c r="C115" s="18"/>
      <c r="D115" s="18"/>
      <c r="E115" s="18"/>
      <c r="F115" s="32">
        <f>F114+I115</f>
        <v>419590.64327485382</v>
      </c>
      <c r="G115" s="32">
        <v>25</v>
      </c>
      <c r="H115" s="32">
        <v>180</v>
      </c>
      <c r="I115" s="294">
        <f>G115*F114/H115</f>
        <v>51169.59064327486</v>
      </c>
      <c r="O115" s="97" t="s">
        <v>5732</v>
      </c>
      <c r="P115" s="18">
        <v>12000000</v>
      </c>
      <c r="Q115" s="97">
        <v>9</v>
      </c>
      <c r="R115" s="97">
        <f t="shared" si="16"/>
        <v>385</v>
      </c>
      <c r="S115" s="97">
        <f t="shared" si="17"/>
        <v>4620000000</v>
      </c>
      <c r="T115" s="97" t="s">
        <v>5733</v>
      </c>
      <c r="Y115" t="s">
        <v>25</v>
      </c>
    </row>
    <row r="116" spans="1:25">
      <c r="A116" s="288" t="s">
        <v>5411</v>
      </c>
      <c r="B116" s="18"/>
      <c r="C116" s="18"/>
      <c r="D116" s="18"/>
      <c r="E116" s="18"/>
      <c r="F116" s="32">
        <f>F115+I116</f>
        <v>441232.68698060943</v>
      </c>
      <c r="G116" s="32">
        <v>49</v>
      </c>
      <c r="H116" s="32">
        <v>950</v>
      </c>
      <c r="I116" s="294">
        <f>F115*G116/H116</f>
        <v>21642.043705755616</v>
      </c>
      <c r="O116" s="97" t="s">
        <v>5742</v>
      </c>
      <c r="P116" s="18">
        <v>-4000000</v>
      </c>
      <c r="Q116" s="97">
        <v>1</v>
      </c>
      <c r="R116" s="97">
        <f t="shared" si="16"/>
        <v>376</v>
      </c>
      <c r="S116" s="97">
        <f t="shared" si="17"/>
        <v>-1504000000</v>
      </c>
      <c r="T116" s="97"/>
    </row>
    <row r="117" spans="1:25">
      <c r="A117" s="288" t="s">
        <v>5813</v>
      </c>
      <c r="B117" s="18"/>
      <c r="C117" s="18"/>
      <c r="D117" s="18"/>
      <c r="E117" s="18"/>
      <c r="F117" s="32">
        <f>F116+I117</f>
        <v>473322.33694283559</v>
      </c>
      <c r="G117" s="32">
        <v>80</v>
      </c>
      <c r="H117" s="32">
        <v>1100</v>
      </c>
      <c r="I117" s="294">
        <f>F116*G117/H117</f>
        <v>32089.64996222614</v>
      </c>
      <c r="O117" s="97" t="s">
        <v>5746</v>
      </c>
      <c r="P117" s="18">
        <v>-5000000</v>
      </c>
      <c r="Q117" s="97">
        <v>2</v>
      </c>
      <c r="R117" s="97">
        <f>Q117+R118</f>
        <v>375</v>
      </c>
      <c r="S117" s="97">
        <f t="shared" si="17"/>
        <v>-1875000000</v>
      </c>
      <c r="T117" s="97"/>
    </row>
    <row r="118" spans="1:25">
      <c r="A118" s="9"/>
      <c r="B118" s="18"/>
      <c r="O118" s="97" t="s">
        <v>5744</v>
      </c>
      <c r="P118" s="18">
        <v>-2500000</v>
      </c>
      <c r="Q118" s="97">
        <v>1</v>
      </c>
      <c r="R118" s="97">
        <f t="shared" si="16"/>
        <v>373</v>
      </c>
      <c r="S118" s="97">
        <f t="shared" si="17"/>
        <v>-932500000</v>
      </c>
      <c r="T118" s="97"/>
    </row>
    <row r="119" spans="1:25">
      <c r="A119" s="288"/>
      <c r="B119" s="290" t="s">
        <v>5842</v>
      </c>
      <c r="C119" s="18"/>
      <c r="D119" s="18" t="s">
        <v>5843</v>
      </c>
      <c r="E119" s="18"/>
      <c r="F119" s="18" t="s">
        <v>5844</v>
      </c>
      <c r="G119" s="32"/>
      <c r="H119" s="32"/>
      <c r="I119" s="205"/>
      <c r="O119" s="97" t="s">
        <v>5745</v>
      </c>
      <c r="P119" s="18">
        <v>-500000</v>
      </c>
      <c r="Q119" s="97">
        <v>17</v>
      </c>
      <c r="R119" s="97">
        <f t="shared" si="16"/>
        <v>372</v>
      </c>
      <c r="S119" s="97">
        <f t="shared" si="17"/>
        <v>-186000000</v>
      </c>
      <c r="T119" s="97"/>
    </row>
    <row r="120" spans="1:25">
      <c r="A120" s="288" t="s">
        <v>5834</v>
      </c>
      <c r="B120" s="290">
        <v>260000000</v>
      </c>
      <c r="C120" s="18"/>
      <c r="D120" s="291">
        <f>10440000*D114</f>
        <v>166090909.09090909</v>
      </c>
      <c r="E120" s="18"/>
      <c r="F120" s="293">
        <f>1066*F117</f>
        <v>504561611.18106276</v>
      </c>
      <c r="G120" s="32"/>
      <c r="H120" s="32"/>
      <c r="I120" s="205"/>
      <c r="O120" s="97" t="s">
        <v>5747</v>
      </c>
      <c r="P120" s="18">
        <v>-192797</v>
      </c>
      <c r="Q120" s="97">
        <v>15</v>
      </c>
      <c r="R120" s="97">
        <f t="shared" si="16"/>
        <v>355</v>
      </c>
      <c r="S120" s="97">
        <f t="shared" si="17"/>
        <v>-68442935</v>
      </c>
      <c r="T120" s="97"/>
    </row>
    <row r="121" spans="1:25">
      <c r="A121" s="94"/>
      <c r="B121" s="94"/>
      <c r="E121" s="94"/>
      <c r="F121" s="94"/>
      <c r="G121" s="94"/>
      <c r="H121" s="94"/>
      <c r="I121" s="94"/>
      <c r="J121" s="94"/>
      <c r="O121" s="97" t="s">
        <v>5752</v>
      </c>
      <c r="P121" s="18">
        <v>2000000</v>
      </c>
      <c r="Q121" s="97">
        <v>12</v>
      </c>
      <c r="R121" s="97">
        <f t="shared" si="16"/>
        <v>340</v>
      </c>
      <c r="S121" s="97">
        <f t="shared" si="17"/>
        <v>680000000</v>
      </c>
      <c r="T121" s="97"/>
    </row>
    <row r="122" spans="1:25">
      <c r="A122" s="94"/>
      <c r="B122" s="94"/>
      <c r="E122" s="94"/>
      <c r="F122" s="94"/>
      <c r="G122" s="94"/>
      <c r="H122" s="94"/>
      <c r="I122" s="94" t="s">
        <v>25</v>
      </c>
      <c r="J122" s="94"/>
      <c r="N122" t="s">
        <v>25</v>
      </c>
      <c r="O122" s="97" t="s">
        <v>5759</v>
      </c>
      <c r="P122" s="18">
        <v>-2000000</v>
      </c>
      <c r="Q122" s="97">
        <v>0</v>
      </c>
      <c r="R122" s="97">
        <f t="shared" si="16"/>
        <v>328</v>
      </c>
      <c r="S122" s="97">
        <f t="shared" si="17"/>
        <v>-656000000</v>
      </c>
      <c r="T122" s="97"/>
    </row>
    <row r="123" spans="1:25">
      <c r="A123" s="94"/>
      <c r="B123" s="94"/>
      <c r="E123" s="94"/>
      <c r="F123" s="94"/>
      <c r="G123" s="94"/>
      <c r="H123" s="94"/>
      <c r="I123" s="94"/>
      <c r="J123" s="94"/>
      <c r="M123" t="s">
        <v>25</v>
      </c>
      <c r="O123" s="97" t="s">
        <v>5759</v>
      </c>
      <c r="P123" s="18">
        <v>-4000000</v>
      </c>
      <c r="Q123" s="97">
        <v>1</v>
      </c>
      <c r="R123" s="97">
        <f t="shared" si="16"/>
        <v>328</v>
      </c>
      <c r="S123" s="97">
        <f t="shared" si="17"/>
        <v>-1312000000</v>
      </c>
      <c r="T123" s="97"/>
    </row>
    <row r="124" spans="1:25">
      <c r="A124" s="298" t="s">
        <v>6386</v>
      </c>
      <c r="B124" s="299" t="s">
        <v>6384</v>
      </c>
      <c r="C124" s="32" t="s">
        <v>6397</v>
      </c>
      <c r="D124" s="236" t="s">
        <v>1098</v>
      </c>
      <c r="E124" s="32" t="s">
        <v>6385</v>
      </c>
      <c r="F124" s="205" t="s">
        <v>5836</v>
      </c>
      <c r="G124" s="205" t="s">
        <v>6396</v>
      </c>
      <c r="H124" s="94"/>
      <c r="I124" s="94"/>
      <c r="J124" s="94"/>
      <c r="O124" s="97" t="s">
        <v>5760</v>
      </c>
      <c r="P124" s="18">
        <v>-3000000</v>
      </c>
      <c r="Q124" s="97">
        <v>3</v>
      </c>
      <c r="R124" s="97">
        <f t="shared" si="16"/>
        <v>327</v>
      </c>
      <c r="S124" s="97">
        <f t="shared" si="17"/>
        <v>-981000000</v>
      </c>
      <c r="T124" s="97"/>
    </row>
    <row r="125" spans="1:25">
      <c r="A125" s="298">
        <v>1390</v>
      </c>
      <c r="B125" s="299">
        <v>354</v>
      </c>
      <c r="C125" s="32"/>
      <c r="D125" s="236">
        <v>1900</v>
      </c>
      <c r="E125" s="32">
        <f t="shared" ref="E125:E130" si="18">B125*1000/D125</f>
        <v>186.31578947368422</v>
      </c>
      <c r="F125" s="18">
        <v>700000</v>
      </c>
      <c r="G125" s="205">
        <f t="shared" ref="G125:G130" si="19">B125*1000*1000/F125</f>
        <v>505.71428571428572</v>
      </c>
      <c r="H125" s="94"/>
      <c r="I125" s="94"/>
      <c r="J125" s="94"/>
      <c r="O125" s="97" t="s">
        <v>5767</v>
      </c>
      <c r="P125" s="18">
        <v>-6000000</v>
      </c>
      <c r="Q125" s="97">
        <v>1</v>
      </c>
      <c r="R125" s="97">
        <f t="shared" si="16"/>
        <v>324</v>
      </c>
      <c r="S125" s="97">
        <f t="shared" si="17"/>
        <v>-1944000000</v>
      </c>
      <c r="T125" s="97"/>
    </row>
    <row r="126" spans="1:25">
      <c r="A126" s="298">
        <v>1391</v>
      </c>
      <c r="B126" s="299">
        <v>460</v>
      </c>
      <c r="C126" s="32">
        <f>(B126-B125)*100/B125</f>
        <v>29.943502824858758</v>
      </c>
      <c r="D126" s="236">
        <v>3200</v>
      </c>
      <c r="E126" s="32">
        <f t="shared" si="18"/>
        <v>143.75</v>
      </c>
      <c r="F126" s="18">
        <v>1200000</v>
      </c>
      <c r="G126" s="205">
        <f t="shared" si="19"/>
        <v>383.33333333333331</v>
      </c>
      <c r="H126" s="94"/>
      <c r="I126" s="94" t="s">
        <v>25</v>
      </c>
      <c r="J126" s="94"/>
      <c r="O126" s="97" t="s">
        <v>5770</v>
      </c>
      <c r="P126" s="18">
        <v>-10000000</v>
      </c>
      <c r="Q126" s="97">
        <v>0</v>
      </c>
      <c r="R126" s="97">
        <f t="shared" si="16"/>
        <v>323</v>
      </c>
      <c r="S126" s="97">
        <f t="shared" si="17"/>
        <v>-3230000000</v>
      </c>
      <c r="T126" s="97"/>
    </row>
    <row r="127" spans="1:25">
      <c r="A127" s="298">
        <v>1392</v>
      </c>
      <c r="B127" s="299">
        <v>640</v>
      </c>
      <c r="C127" s="32">
        <f t="shared" ref="C127:C131" si="20">(B127-B126)*100/B126</f>
        <v>39.130434782608695</v>
      </c>
      <c r="D127" s="236">
        <v>3100</v>
      </c>
      <c r="E127" s="32">
        <f t="shared" si="18"/>
        <v>206.45161290322579</v>
      </c>
      <c r="F127" s="18">
        <v>970000</v>
      </c>
      <c r="G127" s="205">
        <f t="shared" si="19"/>
        <v>659.79381443298973</v>
      </c>
      <c r="H127" s="94"/>
      <c r="I127" s="94" t="s">
        <v>25</v>
      </c>
      <c r="J127" s="94" t="s">
        <v>25</v>
      </c>
      <c r="M127" t="s">
        <v>25</v>
      </c>
      <c r="O127" s="97" t="s">
        <v>5770</v>
      </c>
      <c r="P127" s="18">
        <v>-5500000</v>
      </c>
      <c r="Q127" s="97">
        <v>1</v>
      </c>
      <c r="R127" s="97">
        <f t="shared" si="16"/>
        <v>323</v>
      </c>
      <c r="S127" s="97">
        <f t="shared" si="17"/>
        <v>-1776500000</v>
      </c>
      <c r="T127" s="97"/>
    </row>
    <row r="128" spans="1:25">
      <c r="A128" s="298">
        <v>1393</v>
      </c>
      <c r="B128" s="299">
        <v>782</v>
      </c>
      <c r="C128" s="32">
        <f t="shared" si="20"/>
        <v>22.1875</v>
      </c>
      <c r="D128" s="236">
        <v>3300</v>
      </c>
      <c r="E128" s="32">
        <f t="shared" si="18"/>
        <v>236.96969696969697</v>
      </c>
      <c r="F128" s="18">
        <v>1000000</v>
      </c>
      <c r="G128" s="205">
        <f t="shared" si="19"/>
        <v>782</v>
      </c>
      <c r="H128" s="94" t="s">
        <v>25</v>
      </c>
      <c r="I128" s="94"/>
      <c r="J128" s="94"/>
      <c r="O128" s="97" t="s">
        <v>5771</v>
      </c>
      <c r="P128" s="18">
        <v>-1500000</v>
      </c>
      <c r="Q128" s="97">
        <v>9</v>
      </c>
      <c r="R128" s="97">
        <f t="shared" si="16"/>
        <v>322</v>
      </c>
      <c r="S128" s="97">
        <f t="shared" si="17"/>
        <v>-483000000</v>
      </c>
      <c r="T128" s="97"/>
    </row>
    <row r="129" spans="1:23">
      <c r="A129" s="298">
        <v>1394</v>
      </c>
      <c r="B129" s="299">
        <v>1017</v>
      </c>
      <c r="C129" s="32">
        <f t="shared" si="20"/>
        <v>30.051150895140665</v>
      </c>
      <c r="D129" s="236">
        <v>3500</v>
      </c>
      <c r="E129" s="32">
        <f t="shared" si="18"/>
        <v>290.57142857142856</v>
      </c>
      <c r="F129" s="18">
        <v>1000000</v>
      </c>
      <c r="G129" s="205">
        <f t="shared" si="19"/>
        <v>1017</v>
      </c>
      <c r="H129" s="94"/>
      <c r="I129" s="94" t="s">
        <v>25</v>
      </c>
      <c r="J129" s="94"/>
      <c r="O129" s="97" t="s">
        <v>5798</v>
      </c>
      <c r="P129" s="18">
        <v>-22545000</v>
      </c>
      <c r="Q129" s="97">
        <v>18</v>
      </c>
      <c r="R129" s="97">
        <f t="shared" si="16"/>
        <v>313</v>
      </c>
      <c r="S129" s="97">
        <f t="shared" si="17"/>
        <v>-7056585000</v>
      </c>
      <c r="T129" s="97" t="s">
        <v>5802</v>
      </c>
    </row>
    <row r="130" spans="1:23">
      <c r="A130" s="298">
        <v>1395</v>
      </c>
      <c r="B130" s="299">
        <v>1253</v>
      </c>
      <c r="C130" s="32">
        <f t="shared" si="20"/>
        <v>23.2055063913471</v>
      </c>
      <c r="D130" s="236">
        <v>3800</v>
      </c>
      <c r="E130" s="32">
        <f t="shared" si="18"/>
        <v>329.73684210526318</v>
      </c>
      <c r="F130" s="18">
        <v>1100000</v>
      </c>
      <c r="G130" s="205">
        <f t="shared" si="19"/>
        <v>1139.090909090909</v>
      </c>
      <c r="H130" s="94" t="s">
        <v>25</v>
      </c>
      <c r="I130" s="94" t="s">
        <v>25</v>
      </c>
      <c r="J130" s="94"/>
      <c r="O130" s="97" t="s">
        <v>5809</v>
      </c>
      <c r="P130" s="18">
        <v>5000000</v>
      </c>
      <c r="Q130" s="97">
        <v>9</v>
      </c>
      <c r="R130" s="97">
        <f t="shared" si="16"/>
        <v>295</v>
      </c>
      <c r="S130" s="97">
        <f t="shared" si="17"/>
        <v>1475000000</v>
      </c>
      <c r="T130" s="97"/>
    </row>
    <row r="131" spans="1:23">
      <c r="A131" s="298">
        <v>1396</v>
      </c>
      <c r="B131" s="299">
        <v>1530</v>
      </c>
      <c r="C131" s="32">
        <f t="shared" si="20"/>
        <v>22.106943335993616</v>
      </c>
      <c r="D131" s="236">
        <v>4500</v>
      </c>
      <c r="E131" s="32">
        <f>B131*1000/D131</f>
        <v>340</v>
      </c>
      <c r="F131" s="18">
        <v>1400000</v>
      </c>
      <c r="G131" s="205">
        <f>B131*1000*1000/F131</f>
        <v>1092.8571428571429</v>
      </c>
      <c r="H131" s="94"/>
      <c r="I131" s="94"/>
      <c r="J131" s="94"/>
      <c r="O131" s="97" t="s">
        <v>5813</v>
      </c>
      <c r="P131" s="18">
        <v>3000000</v>
      </c>
      <c r="Q131" s="97">
        <v>0</v>
      </c>
      <c r="R131" s="97">
        <f t="shared" si="16"/>
        <v>286</v>
      </c>
      <c r="S131" s="97">
        <f t="shared" si="17"/>
        <v>858000000</v>
      </c>
      <c r="T131" s="97"/>
      <c r="W131" t="s">
        <v>25</v>
      </c>
    </row>
    <row r="132" spans="1:23">
      <c r="A132" s="298">
        <v>1397</v>
      </c>
      <c r="B132" s="299">
        <v>1882</v>
      </c>
      <c r="C132" s="32">
        <f>(B132-B131)*100/B131</f>
        <v>23.006535947712418</v>
      </c>
      <c r="D132" s="236">
        <v>12000</v>
      </c>
      <c r="E132" s="32">
        <f>B132*1000/D132</f>
        <v>156.83333333333334</v>
      </c>
      <c r="F132" s="18">
        <v>4750000</v>
      </c>
      <c r="G132" s="205">
        <f t="shared" ref="G132:G135" si="21">B132*1000*1000/F132</f>
        <v>396.21052631578948</v>
      </c>
      <c r="H132" s="94"/>
      <c r="I132" s="94"/>
      <c r="J132" s="94"/>
      <c r="O132" s="97" t="s">
        <v>5813</v>
      </c>
      <c r="P132" s="18">
        <v>-3000000</v>
      </c>
      <c r="Q132" s="97">
        <v>1</v>
      </c>
      <c r="R132" s="97">
        <f t="shared" si="16"/>
        <v>286</v>
      </c>
      <c r="S132" s="97">
        <f t="shared" si="17"/>
        <v>-858000000</v>
      </c>
      <c r="T132" s="97"/>
    </row>
    <row r="133" spans="1:23">
      <c r="A133" s="298">
        <v>1398</v>
      </c>
      <c r="B133" s="299">
        <v>2472</v>
      </c>
      <c r="C133" s="32">
        <f>(B133-B132)*100/B132</f>
        <v>31.349628055260361</v>
      </c>
      <c r="D133" s="236">
        <v>15000</v>
      </c>
      <c r="E133" s="32">
        <f t="shared" ref="E133:E135" si="22">B133*1000/D133</f>
        <v>164.8</v>
      </c>
      <c r="F133" s="18">
        <v>6600000</v>
      </c>
      <c r="G133" s="205">
        <f t="shared" si="21"/>
        <v>374.54545454545456</v>
      </c>
      <c r="O133" s="97" t="s">
        <v>5814</v>
      </c>
      <c r="P133" s="18">
        <v>-11455000</v>
      </c>
      <c r="Q133" s="97">
        <v>14</v>
      </c>
      <c r="R133" s="97">
        <f t="shared" si="16"/>
        <v>285</v>
      </c>
      <c r="S133" s="97">
        <f t="shared" si="17"/>
        <v>-3264675000</v>
      </c>
      <c r="T133" s="97"/>
    </row>
    <row r="134" spans="1:23">
      <c r="A134" s="298">
        <v>1399</v>
      </c>
      <c r="B134" s="299">
        <v>3476</v>
      </c>
      <c r="C134" s="32">
        <f>(B134-B133)*100/B133</f>
        <v>40.614886731391586</v>
      </c>
      <c r="D134" s="236">
        <v>25000</v>
      </c>
      <c r="E134" s="32">
        <f t="shared" si="22"/>
        <v>139.04</v>
      </c>
      <c r="F134" s="18">
        <v>12000000</v>
      </c>
      <c r="G134" s="205">
        <f t="shared" si="21"/>
        <v>289.66666666666669</v>
      </c>
      <c r="O134" s="97" t="s">
        <v>6388</v>
      </c>
      <c r="P134" s="18">
        <v>2317100</v>
      </c>
      <c r="Q134" s="97">
        <v>3</v>
      </c>
      <c r="R134" s="97">
        <f t="shared" si="16"/>
        <v>271</v>
      </c>
      <c r="S134" s="97">
        <f t="shared" si="17"/>
        <v>627934100</v>
      </c>
      <c r="T134" s="97"/>
    </row>
    <row r="135" spans="1:23">
      <c r="A135" s="298">
        <v>1400</v>
      </c>
      <c r="B135" s="299">
        <v>4500</v>
      </c>
      <c r="C135" s="32">
        <f t="shared" ref="C135" si="23">(B135-B134)*100/B134</f>
        <v>29.459148446490218</v>
      </c>
      <c r="D135" s="236">
        <v>28440</v>
      </c>
      <c r="E135" s="32">
        <f t="shared" si="22"/>
        <v>158.22784810126583</v>
      </c>
      <c r="F135" s="18">
        <v>15000000</v>
      </c>
      <c r="G135" s="205">
        <f t="shared" si="21"/>
        <v>300</v>
      </c>
      <c r="O135" s="97" t="s">
        <v>6389</v>
      </c>
      <c r="P135" s="18">
        <v>699000</v>
      </c>
      <c r="Q135" s="97">
        <v>3</v>
      </c>
      <c r="R135" s="97">
        <f t="shared" si="16"/>
        <v>268</v>
      </c>
      <c r="S135" s="97">
        <f t="shared" si="17"/>
        <v>187332000</v>
      </c>
      <c r="T135" s="97"/>
    </row>
    <row r="136" spans="1:23">
      <c r="A136" s="94"/>
      <c r="B136" s="94"/>
      <c r="E136" s="94"/>
      <c r="F136" s="94"/>
      <c r="G136" s="94"/>
      <c r="O136" s="97" t="s">
        <v>6391</v>
      </c>
      <c r="P136" s="18">
        <v>-1016100</v>
      </c>
      <c r="Q136" s="97">
        <v>5</v>
      </c>
      <c r="R136" s="97">
        <f t="shared" si="16"/>
        <v>265</v>
      </c>
      <c r="S136" s="97">
        <f t="shared" si="17"/>
        <v>-269266500</v>
      </c>
      <c r="T136" s="97"/>
    </row>
    <row r="137" spans="1:23">
      <c r="A137" s="94"/>
      <c r="B137" s="94"/>
      <c r="E137" s="94"/>
      <c r="F137" s="94"/>
      <c r="G137" s="94"/>
      <c r="O137" s="97" t="s">
        <v>6398</v>
      </c>
      <c r="P137" s="18">
        <v>-680000</v>
      </c>
      <c r="Q137" s="97">
        <v>3</v>
      </c>
      <c r="R137" s="97">
        <f t="shared" si="16"/>
        <v>260</v>
      </c>
      <c r="S137" s="97">
        <f t="shared" si="17"/>
        <v>-176800000</v>
      </c>
      <c r="T137" s="97"/>
    </row>
    <row r="138" spans="1:23">
      <c r="A138" s="94"/>
      <c r="B138" s="94"/>
      <c r="E138" s="94"/>
      <c r="F138" s="94"/>
      <c r="G138" s="94"/>
      <c r="O138" s="97" t="s">
        <v>6399</v>
      </c>
      <c r="P138" s="18">
        <v>-216000</v>
      </c>
      <c r="Q138" s="97">
        <v>3</v>
      </c>
      <c r="R138" s="97">
        <f t="shared" si="16"/>
        <v>257</v>
      </c>
      <c r="S138" s="97">
        <f t="shared" si="17"/>
        <v>-55512000</v>
      </c>
      <c r="T138" s="97"/>
    </row>
    <row r="139" spans="1:23">
      <c r="A139" s="94"/>
      <c r="B139" s="94"/>
      <c r="E139" s="94"/>
      <c r="O139" s="97" t="s">
        <v>6400</v>
      </c>
      <c r="P139" s="18">
        <v>-619000</v>
      </c>
      <c r="Q139" s="97">
        <v>3</v>
      </c>
      <c r="R139" s="97">
        <f t="shared" si="16"/>
        <v>254</v>
      </c>
      <c r="S139" s="97">
        <f t="shared" si="17"/>
        <v>-157226000</v>
      </c>
      <c r="T139" s="97"/>
    </row>
    <row r="140" spans="1:23" ht="30">
      <c r="A140">
        <v>0</v>
      </c>
      <c r="B140" s="94">
        <v>1</v>
      </c>
      <c r="C140" s="94">
        <v>3476</v>
      </c>
      <c r="E140" s="94">
        <v>2.845E-2</v>
      </c>
      <c r="O140" s="144" t="s">
        <v>6408</v>
      </c>
      <c r="P140" s="237">
        <v>-485000</v>
      </c>
      <c r="Q140" s="144">
        <v>11</v>
      </c>
      <c r="R140" s="97">
        <f t="shared" si="16"/>
        <v>251</v>
      </c>
      <c r="S140" s="97">
        <f t="shared" si="17"/>
        <v>-121735000</v>
      </c>
      <c r="T140" s="379" t="s">
        <v>6623</v>
      </c>
      <c r="V140" t="s">
        <v>25</v>
      </c>
    </row>
    <row r="141" spans="1:23">
      <c r="A141">
        <v>1</v>
      </c>
      <c r="B141" s="94">
        <f t="shared" ref="B141:B152" si="24">B140*(1+$E$140)</f>
        <v>1.0284500000000001</v>
      </c>
      <c r="C141" s="94">
        <f t="shared" ref="C141:C152" si="25">C140*(1+$E$140)</f>
        <v>3574.8922000000002</v>
      </c>
      <c r="E141" s="94"/>
      <c r="O141" s="97" t="s">
        <v>6417</v>
      </c>
      <c r="P141" s="18">
        <v>3000000</v>
      </c>
      <c r="Q141" s="97">
        <v>1</v>
      </c>
      <c r="R141" s="97">
        <f t="shared" si="16"/>
        <v>240</v>
      </c>
      <c r="S141" s="18">
        <f t="shared" si="17"/>
        <v>720000000</v>
      </c>
      <c r="T141" s="97"/>
    </row>
    <row r="142" spans="1:23">
      <c r="A142" s="94">
        <v>2</v>
      </c>
      <c r="B142" s="94">
        <f t="shared" si="24"/>
        <v>1.0577094025000002</v>
      </c>
      <c r="C142" s="94">
        <f t="shared" si="25"/>
        <v>3676.5978830900003</v>
      </c>
      <c r="E142" s="94"/>
      <c r="O142" s="97" t="s">
        <v>6418</v>
      </c>
      <c r="P142" s="18">
        <v>255000</v>
      </c>
      <c r="Q142" s="97">
        <v>1</v>
      </c>
      <c r="R142" s="97">
        <f t="shared" si="16"/>
        <v>239</v>
      </c>
      <c r="S142" s="18">
        <f t="shared" si="17"/>
        <v>60945000</v>
      </c>
      <c r="T142" s="97" t="s">
        <v>6419</v>
      </c>
    </row>
    <row r="143" spans="1:23">
      <c r="A143" s="94">
        <v>3</v>
      </c>
      <c r="B143" s="94">
        <f t="shared" si="24"/>
        <v>1.0878012350011252</v>
      </c>
      <c r="C143" s="94">
        <f t="shared" si="25"/>
        <v>3781.1970928639112</v>
      </c>
      <c r="O143" s="97" t="s">
        <v>6420</v>
      </c>
      <c r="P143" s="18">
        <v>-3255000</v>
      </c>
      <c r="Q143" s="97">
        <v>9</v>
      </c>
      <c r="R143" s="97">
        <f t="shared" si="16"/>
        <v>238</v>
      </c>
      <c r="S143" s="18">
        <f t="shared" si="17"/>
        <v>-774690000</v>
      </c>
      <c r="T143" s="97"/>
      <c r="V143" t="s">
        <v>25</v>
      </c>
    </row>
    <row r="144" spans="1:23">
      <c r="A144" s="94">
        <v>4</v>
      </c>
      <c r="B144" s="94">
        <f t="shared" si="24"/>
        <v>1.1187491801369074</v>
      </c>
      <c r="C144" s="94">
        <f t="shared" si="25"/>
        <v>3888.7721501558899</v>
      </c>
      <c r="E144" s="94"/>
      <c r="F144" s="94"/>
      <c r="G144" s="94"/>
      <c r="H144" s="94"/>
      <c r="I144" s="94"/>
      <c r="J144" s="94"/>
      <c r="K144" s="94"/>
      <c r="L144" s="94"/>
      <c r="O144" s="97" t="s">
        <v>6434</v>
      </c>
      <c r="P144" s="18">
        <v>60000000</v>
      </c>
      <c r="Q144" s="97">
        <v>19</v>
      </c>
      <c r="R144" s="97">
        <f t="shared" si="16"/>
        <v>229</v>
      </c>
      <c r="S144" s="18">
        <f t="shared" si="17"/>
        <v>13740000000</v>
      </c>
      <c r="T144" s="97"/>
    </row>
    <row r="145" spans="1:25">
      <c r="A145" s="94">
        <v>5</v>
      </c>
      <c r="B145" s="94">
        <f t="shared" si="24"/>
        <v>1.1505775943118024</v>
      </c>
      <c r="C145" s="94">
        <f t="shared" si="25"/>
        <v>3999.4077178278253</v>
      </c>
      <c r="E145" s="94"/>
      <c r="F145" s="94"/>
      <c r="G145" s="94"/>
      <c r="H145" s="94"/>
      <c r="I145" s="94"/>
      <c r="J145" s="94"/>
      <c r="K145" s="94"/>
      <c r="L145" s="94"/>
      <c r="O145" s="97" t="s">
        <v>6439</v>
      </c>
      <c r="P145" s="18">
        <v>473628</v>
      </c>
      <c r="Q145" s="97">
        <v>2</v>
      </c>
      <c r="R145" s="97">
        <f t="shared" ref="R145:R147" si="26">Q145+R146</f>
        <v>210</v>
      </c>
      <c r="S145" s="18">
        <f t="shared" ref="S145:S147" si="27">P145*R145</f>
        <v>99461880</v>
      </c>
      <c r="T145" s="97" t="s">
        <v>6440</v>
      </c>
    </row>
    <row r="146" spans="1:25">
      <c r="A146" s="94">
        <v>6</v>
      </c>
      <c r="B146" s="94">
        <f t="shared" si="24"/>
        <v>1.1833115268699732</v>
      </c>
      <c r="C146" s="94">
        <f t="shared" si="25"/>
        <v>4113.1908674000269</v>
      </c>
      <c r="E146" s="94"/>
      <c r="F146" s="94"/>
      <c r="G146" s="94"/>
      <c r="H146" s="94"/>
      <c r="I146" s="94"/>
      <c r="J146" s="94"/>
      <c r="K146" s="94"/>
      <c r="L146" s="94"/>
      <c r="O146" s="97" t="s">
        <v>6441</v>
      </c>
      <c r="P146" s="18">
        <v>-473628</v>
      </c>
      <c r="Q146" s="97">
        <v>1</v>
      </c>
      <c r="R146" s="97">
        <f t="shared" si="26"/>
        <v>208</v>
      </c>
      <c r="S146" s="18">
        <f t="shared" si="27"/>
        <v>-98514624</v>
      </c>
      <c r="T146" s="97"/>
    </row>
    <row r="147" spans="1:25">
      <c r="A147" s="94">
        <v>7</v>
      </c>
      <c r="B147" s="94">
        <f t="shared" si="24"/>
        <v>1.216976739809424</v>
      </c>
      <c r="C147" s="94">
        <f t="shared" si="25"/>
        <v>4230.2111475775582</v>
      </c>
      <c r="E147" s="94"/>
      <c r="F147" s="94"/>
      <c r="G147" s="94"/>
      <c r="H147" s="94"/>
      <c r="I147" s="94"/>
      <c r="J147" s="94"/>
      <c r="K147" s="94"/>
      <c r="L147" s="94"/>
      <c r="M147" s="94"/>
      <c r="O147" s="97" t="s">
        <v>6443</v>
      </c>
      <c r="P147" s="18">
        <v>-6000000</v>
      </c>
      <c r="Q147" s="97">
        <v>3</v>
      </c>
      <c r="R147" s="97">
        <f t="shared" si="26"/>
        <v>207</v>
      </c>
      <c r="S147" s="18">
        <f t="shared" si="27"/>
        <v>-1242000000</v>
      </c>
      <c r="T147" s="97"/>
    </row>
    <row r="148" spans="1:25">
      <c r="A148" s="94">
        <v>8</v>
      </c>
      <c r="B148" s="94">
        <f t="shared" si="24"/>
        <v>1.2515997280570021</v>
      </c>
      <c r="C148" s="94">
        <f t="shared" si="25"/>
        <v>4350.5606547261405</v>
      </c>
      <c r="E148" s="94"/>
      <c r="F148" s="94"/>
      <c r="G148" s="94"/>
      <c r="H148" s="94"/>
      <c r="I148" s="94"/>
      <c r="J148" s="94"/>
      <c r="K148" s="94"/>
      <c r="L148" s="94"/>
      <c r="M148" s="94"/>
      <c r="O148" s="97" t="s">
        <v>6445</v>
      </c>
      <c r="P148" s="18">
        <v>-475000</v>
      </c>
      <c r="Q148" s="97">
        <v>1</v>
      </c>
      <c r="R148" s="97">
        <f t="shared" ref="R148:R155" si="28">Q148+R149</f>
        <v>204</v>
      </c>
      <c r="S148" s="18">
        <f t="shared" ref="S148:S155" si="29">P148*R148</f>
        <v>-96900000</v>
      </c>
      <c r="T148" s="97" t="s">
        <v>6446</v>
      </c>
      <c r="W148" t="s">
        <v>25</v>
      </c>
    </row>
    <row r="149" spans="1:25">
      <c r="A149" s="94">
        <v>9</v>
      </c>
      <c r="B149" s="94">
        <f t="shared" si="24"/>
        <v>1.287207740320224</v>
      </c>
      <c r="C149" s="94">
        <f t="shared" si="25"/>
        <v>4474.3341053530994</v>
      </c>
      <c r="E149" s="94"/>
      <c r="F149" s="94"/>
      <c r="G149" s="94"/>
      <c r="H149" s="94"/>
      <c r="I149" s="94"/>
      <c r="J149" s="94"/>
      <c r="K149" s="94"/>
      <c r="L149" s="94"/>
      <c r="M149" s="94"/>
      <c r="O149" s="97" t="s">
        <v>6447</v>
      </c>
      <c r="P149" s="18">
        <v>-837000</v>
      </c>
      <c r="Q149" s="97">
        <v>1</v>
      </c>
      <c r="R149" s="97">
        <f t="shared" si="28"/>
        <v>203</v>
      </c>
      <c r="S149" s="18">
        <f t="shared" si="29"/>
        <v>-169911000</v>
      </c>
      <c r="T149" s="97" t="s">
        <v>6446</v>
      </c>
    </row>
    <row r="150" spans="1:25">
      <c r="A150" s="94">
        <v>10</v>
      </c>
      <c r="B150" s="94">
        <f t="shared" si="24"/>
        <v>1.3238288005323344</v>
      </c>
      <c r="C150" s="94">
        <f t="shared" si="25"/>
        <v>4601.6289106503955</v>
      </c>
      <c r="E150" s="94"/>
      <c r="F150" s="94"/>
      <c r="G150" s="94"/>
      <c r="H150" s="94"/>
      <c r="I150" s="94"/>
      <c r="J150" s="94"/>
      <c r="K150" s="94"/>
      <c r="L150" s="94"/>
      <c r="M150" s="94"/>
      <c r="O150" s="97" t="s">
        <v>6448</v>
      </c>
      <c r="P150" s="18">
        <v>-493000</v>
      </c>
      <c r="Q150" s="97">
        <v>1</v>
      </c>
      <c r="R150" s="97">
        <f t="shared" si="28"/>
        <v>202</v>
      </c>
      <c r="S150" s="18">
        <f t="shared" si="29"/>
        <v>-99586000</v>
      </c>
      <c r="T150" s="97" t="s">
        <v>6446</v>
      </c>
    </row>
    <row r="151" spans="1:25">
      <c r="A151" s="94">
        <v>11</v>
      </c>
      <c r="B151" s="94">
        <f t="shared" si="24"/>
        <v>1.3614917299074794</v>
      </c>
      <c r="C151" s="94">
        <f t="shared" si="25"/>
        <v>4732.5452531583996</v>
      </c>
      <c r="E151" s="94"/>
      <c r="F151" s="94"/>
      <c r="G151" s="94"/>
      <c r="H151" s="94"/>
      <c r="I151" s="94"/>
      <c r="J151" s="94"/>
      <c r="K151" s="94"/>
      <c r="L151" s="94"/>
      <c r="M151" s="94"/>
      <c r="O151" s="37" t="s">
        <v>6449</v>
      </c>
      <c r="P151" s="18">
        <v>54000</v>
      </c>
      <c r="Q151" s="97">
        <v>3</v>
      </c>
      <c r="R151" s="97">
        <f t="shared" si="28"/>
        <v>201</v>
      </c>
      <c r="S151" s="18">
        <f t="shared" si="29"/>
        <v>10854000</v>
      </c>
      <c r="T151" s="97" t="s">
        <v>6450</v>
      </c>
      <c r="Y151" t="s">
        <v>25</v>
      </c>
    </row>
    <row r="152" spans="1:25">
      <c r="A152" s="94">
        <v>12</v>
      </c>
      <c r="B152" s="94">
        <f t="shared" si="24"/>
        <v>1.4002261696233473</v>
      </c>
      <c r="C152" s="94">
        <f t="shared" si="25"/>
        <v>4867.1861656107567</v>
      </c>
      <c r="E152" s="94"/>
      <c r="F152" s="94"/>
      <c r="G152" s="94"/>
      <c r="H152" s="94"/>
      <c r="I152" s="94"/>
      <c r="J152" s="94"/>
      <c r="K152" s="94"/>
      <c r="L152" s="94"/>
      <c r="M152" s="94"/>
      <c r="O152" s="97" t="s">
        <v>6452</v>
      </c>
      <c r="P152" s="18">
        <v>-400000</v>
      </c>
      <c r="Q152" s="97">
        <v>2</v>
      </c>
      <c r="R152" s="97">
        <f t="shared" si="28"/>
        <v>198</v>
      </c>
      <c r="S152" s="18">
        <f t="shared" si="29"/>
        <v>-79200000</v>
      </c>
      <c r="T152" s="97" t="s">
        <v>6454</v>
      </c>
    </row>
    <row r="153" spans="1:25">
      <c r="A153" s="94"/>
      <c r="B153" s="94"/>
      <c r="E153" s="94"/>
      <c r="F153" s="94"/>
      <c r="G153" s="94"/>
      <c r="H153" s="94"/>
      <c r="I153" s="94"/>
      <c r="J153" s="94"/>
      <c r="K153" s="94"/>
      <c r="L153" s="94"/>
      <c r="M153" s="94"/>
      <c r="O153" s="97" t="s">
        <v>6456</v>
      </c>
      <c r="P153" s="18">
        <v>-938000</v>
      </c>
      <c r="Q153" s="97">
        <v>9</v>
      </c>
      <c r="R153" s="97">
        <f t="shared" si="28"/>
        <v>196</v>
      </c>
      <c r="S153" s="18">
        <f t="shared" si="29"/>
        <v>-183848000</v>
      </c>
      <c r="T153" s="97" t="s">
        <v>6446</v>
      </c>
    </row>
    <row r="154" spans="1:25">
      <c r="A154" s="94"/>
      <c r="B154" s="94"/>
      <c r="E154" s="94"/>
      <c r="F154" s="94"/>
      <c r="G154" s="94"/>
      <c r="H154" s="94"/>
      <c r="I154" s="94"/>
      <c r="J154" s="94"/>
      <c r="K154" s="94"/>
      <c r="L154" s="94"/>
      <c r="M154" s="94"/>
      <c r="O154" s="97" t="s">
        <v>6568</v>
      </c>
      <c r="P154" s="18">
        <v>-7911000</v>
      </c>
      <c r="Q154" s="97">
        <v>12</v>
      </c>
      <c r="R154" s="97">
        <f t="shared" si="28"/>
        <v>187</v>
      </c>
      <c r="S154" s="18">
        <f t="shared" si="29"/>
        <v>-1479357000</v>
      </c>
      <c r="T154" s="97" t="s">
        <v>6569</v>
      </c>
      <c r="X154" t="s">
        <v>25</v>
      </c>
      <c r="Y154" t="s">
        <v>25</v>
      </c>
    </row>
    <row r="155" spans="1:25">
      <c r="A155" s="94"/>
      <c r="B155" s="94"/>
      <c r="E155" s="94"/>
      <c r="F155" s="94"/>
      <c r="G155" s="94"/>
      <c r="H155" s="94"/>
      <c r="I155" s="94"/>
      <c r="J155" s="94"/>
      <c r="K155" s="94"/>
      <c r="L155" s="94"/>
      <c r="M155" s="94"/>
      <c r="O155" s="97" t="s">
        <v>6579</v>
      </c>
      <c r="P155" s="18">
        <v>1000000</v>
      </c>
      <c r="Q155" s="97">
        <v>1</v>
      </c>
      <c r="R155" s="97">
        <f t="shared" si="28"/>
        <v>175</v>
      </c>
      <c r="S155" s="18">
        <f t="shared" si="29"/>
        <v>175000000</v>
      </c>
      <c r="T155" s="97" t="s">
        <v>6585</v>
      </c>
    </row>
    <row r="156" spans="1:25">
      <c r="A156" s="94"/>
      <c r="B156" s="94"/>
      <c r="E156" s="94"/>
      <c r="F156" s="94"/>
      <c r="G156" s="94"/>
      <c r="H156" s="94"/>
      <c r="I156" s="94"/>
      <c r="J156" s="94"/>
      <c r="K156" s="94"/>
      <c r="L156" s="94"/>
      <c r="M156" s="94"/>
      <c r="O156" s="97" t="s">
        <v>6580</v>
      </c>
      <c r="P156" s="18">
        <v>-1000000</v>
      </c>
      <c r="Q156" s="97">
        <v>19</v>
      </c>
      <c r="R156" s="97">
        <f t="shared" ref="R156:R158" si="30">Q156+R157</f>
        <v>174</v>
      </c>
      <c r="S156" s="18">
        <f t="shared" ref="S156:S158" si="31">P156*R156</f>
        <v>-174000000</v>
      </c>
      <c r="T156" s="97" t="s">
        <v>6569</v>
      </c>
    </row>
    <row r="157" spans="1:25">
      <c r="A157" s="94"/>
      <c r="B157" s="94"/>
      <c r="E157" s="94"/>
      <c r="F157" s="94"/>
      <c r="G157" s="94"/>
      <c r="H157" s="94"/>
      <c r="I157" s="94"/>
      <c r="J157" s="94"/>
      <c r="K157" s="94"/>
      <c r="L157" s="94"/>
      <c r="M157" s="94"/>
      <c r="O157" s="97" t="s">
        <v>6601</v>
      </c>
      <c r="P157" s="18">
        <v>400000</v>
      </c>
      <c r="Q157" s="97">
        <v>0</v>
      </c>
      <c r="R157" s="97">
        <f t="shared" si="30"/>
        <v>155</v>
      </c>
      <c r="S157" s="18">
        <f t="shared" si="31"/>
        <v>62000000</v>
      </c>
      <c r="T157" s="97"/>
    </row>
    <row r="158" spans="1:25" ht="15.75">
      <c r="A158" s="176" t="s">
        <v>4822</v>
      </c>
      <c r="B158" s="176" t="s">
        <v>4823</v>
      </c>
      <c r="C158" s="424" t="s">
        <v>6926</v>
      </c>
      <c r="D158" s="176" t="s">
        <v>6925</v>
      </c>
      <c r="E158" s="424" t="s">
        <v>6927</v>
      </c>
      <c r="F158" s="176" t="s">
        <v>6928</v>
      </c>
      <c r="G158" s="176" t="s">
        <v>6433</v>
      </c>
      <c r="H158" s="176" t="s">
        <v>6470</v>
      </c>
      <c r="I158" s="176" t="s">
        <v>4245</v>
      </c>
      <c r="J158" s="176" t="s">
        <v>4907</v>
      </c>
      <c r="K158" s="176" t="s">
        <v>6924</v>
      </c>
      <c r="L158" s="176" t="s">
        <v>4907</v>
      </c>
      <c r="M158" s="413" t="s">
        <v>5261</v>
      </c>
      <c r="O158" s="97" t="s">
        <v>6601</v>
      </c>
      <c r="P158" s="18">
        <v>-400000</v>
      </c>
      <c r="Q158" s="97">
        <v>11</v>
      </c>
      <c r="R158" s="97">
        <f t="shared" si="30"/>
        <v>155</v>
      </c>
      <c r="S158" s="18">
        <f t="shared" si="31"/>
        <v>-62000000</v>
      </c>
      <c r="T158" s="97"/>
      <c r="Y158" t="s">
        <v>25</v>
      </c>
    </row>
    <row r="159" spans="1:25" ht="15.75">
      <c r="A159" s="415" t="s">
        <v>6465</v>
      </c>
      <c r="B159" s="416">
        <v>3502073352</v>
      </c>
      <c r="C159" s="416">
        <v>350</v>
      </c>
      <c r="D159" s="416">
        <f>B159*C159/$M$159</f>
        <v>40.857522439999997</v>
      </c>
      <c r="E159" s="423">
        <v>190</v>
      </c>
      <c r="F159" s="415">
        <f>0.75*B159*E159/$M$159</f>
        <v>16.634848422000001</v>
      </c>
      <c r="G159" s="415">
        <v>130</v>
      </c>
      <c r="H159" s="415">
        <f>0.75*B159*G159/$M$159</f>
        <v>11.381738393999999</v>
      </c>
      <c r="I159" s="415">
        <v>2255</v>
      </c>
      <c r="J159" s="415">
        <f t="shared" ref="J159:J171" si="32">B159*I159/$M$159</f>
        <v>263.23918029200001</v>
      </c>
      <c r="K159" s="415">
        <f>I159</f>
        <v>2255</v>
      </c>
      <c r="L159" s="415">
        <f t="shared" ref="L159:L172" si="33">B159*K159/$M$159</f>
        <v>263.23918029200001</v>
      </c>
      <c r="M159" s="416">
        <v>30000000000</v>
      </c>
      <c r="O159" s="97" t="s">
        <v>6616</v>
      </c>
      <c r="P159" s="18">
        <v>600000</v>
      </c>
      <c r="Q159" s="97">
        <v>5</v>
      </c>
      <c r="R159" s="97">
        <f t="shared" ref="R159:R163" si="34">Q159+R160</f>
        <v>144</v>
      </c>
      <c r="S159" s="18">
        <f t="shared" ref="S159:S163" si="35">P159*R159</f>
        <v>86400000</v>
      </c>
      <c r="T159" s="97"/>
    </row>
    <row r="160" spans="1:25" ht="23.25">
      <c r="A160" s="417" t="s">
        <v>4216</v>
      </c>
      <c r="B160" s="418">
        <v>3356161798</v>
      </c>
      <c r="C160" s="418">
        <v>340</v>
      </c>
      <c r="D160" s="418">
        <f t="shared" ref="D160:D171" si="36">B160*C160/$M$159</f>
        <v>38.036500377333333</v>
      </c>
      <c r="E160" s="421">
        <v>230</v>
      </c>
      <c r="F160" s="417">
        <f t="shared" ref="F160:F171" si="37">B160*E160/$M$159</f>
        <v>25.730573784666667</v>
      </c>
      <c r="G160" s="417">
        <v>200</v>
      </c>
      <c r="H160" s="417">
        <f t="shared" ref="H160:H171" si="38">B160*G160/$M$159</f>
        <v>22.374411986666665</v>
      </c>
      <c r="I160" s="417">
        <v>1250</v>
      </c>
      <c r="J160" s="417">
        <f t="shared" si="32"/>
        <v>139.84007491666668</v>
      </c>
      <c r="K160" s="429">
        <v>3300</v>
      </c>
      <c r="L160" s="422">
        <f t="shared" si="33"/>
        <v>369.17779777999999</v>
      </c>
      <c r="M160" s="94"/>
      <c r="O160" s="97" t="s">
        <v>6622</v>
      </c>
      <c r="P160" s="18">
        <v>-600000</v>
      </c>
      <c r="Q160" s="97">
        <v>30</v>
      </c>
      <c r="R160" s="97">
        <f t="shared" si="34"/>
        <v>139</v>
      </c>
      <c r="S160" s="18">
        <f t="shared" si="35"/>
        <v>-83400000</v>
      </c>
      <c r="T160" s="97"/>
    </row>
    <row r="161" spans="1:25" ht="15.75">
      <c r="A161" s="415" t="s">
        <v>4509</v>
      </c>
      <c r="B161" s="416">
        <v>2003857980</v>
      </c>
      <c r="C161" s="416">
        <v>280</v>
      </c>
      <c r="D161" s="416">
        <f t="shared" si="36"/>
        <v>18.702674479999999</v>
      </c>
      <c r="E161" s="423">
        <v>130</v>
      </c>
      <c r="F161" s="415">
        <f t="shared" si="37"/>
        <v>8.6833845800000002</v>
      </c>
      <c r="G161" s="415">
        <v>28</v>
      </c>
      <c r="H161" s="415">
        <f t="shared" si="38"/>
        <v>1.8702674480000001</v>
      </c>
      <c r="I161" s="415">
        <v>1309</v>
      </c>
      <c r="J161" s="415">
        <f t="shared" si="32"/>
        <v>87.435003194000004</v>
      </c>
      <c r="K161" s="415">
        <f>I161</f>
        <v>1309</v>
      </c>
      <c r="L161" s="415">
        <f t="shared" si="33"/>
        <v>87.435003194000004</v>
      </c>
      <c r="M161" s="94"/>
      <c r="O161" s="97" t="s">
        <v>6941</v>
      </c>
      <c r="P161" s="18">
        <v>650000</v>
      </c>
      <c r="Q161" s="97">
        <v>4</v>
      </c>
      <c r="R161" s="97">
        <f t="shared" si="34"/>
        <v>109</v>
      </c>
      <c r="S161" s="18">
        <f t="shared" si="35"/>
        <v>70850000</v>
      </c>
      <c r="T161" s="97"/>
      <c r="X161" t="s">
        <v>25</v>
      </c>
    </row>
    <row r="162" spans="1:25" ht="15.75">
      <c r="A162" s="417" t="s">
        <v>5787</v>
      </c>
      <c r="B162" s="418">
        <v>499499998</v>
      </c>
      <c r="C162" s="418">
        <v>450</v>
      </c>
      <c r="D162" s="418">
        <f t="shared" si="36"/>
        <v>7.4924999699999999</v>
      </c>
      <c r="E162" s="421">
        <v>308</v>
      </c>
      <c r="F162" s="417">
        <f t="shared" si="37"/>
        <v>5.1281999794666664</v>
      </c>
      <c r="G162" s="417">
        <v>213</v>
      </c>
      <c r="H162" s="417">
        <f t="shared" si="38"/>
        <v>3.5464499857999998</v>
      </c>
      <c r="I162" s="417">
        <v>2819</v>
      </c>
      <c r="J162" s="417">
        <f t="shared" si="32"/>
        <v>46.936349812066666</v>
      </c>
      <c r="K162" s="415">
        <f t="shared" ref="K162:K171" si="39">I162</f>
        <v>2819</v>
      </c>
      <c r="L162" s="417">
        <f t="shared" si="33"/>
        <v>46.936349812066666</v>
      </c>
      <c r="M162" s="94"/>
      <c r="O162" s="97" t="s">
        <v>6944</v>
      </c>
      <c r="P162" s="18">
        <v>-650000</v>
      </c>
      <c r="Q162" s="97">
        <v>15</v>
      </c>
      <c r="R162" s="97">
        <f t="shared" si="34"/>
        <v>105</v>
      </c>
      <c r="S162" s="18">
        <f t="shared" si="35"/>
        <v>-68250000</v>
      </c>
      <c r="T162" s="97"/>
    </row>
    <row r="163" spans="1:25" ht="15.75">
      <c r="A163" s="415" t="s">
        <v>6467</v>
      </c>
      <c r="B163" s="416">
        <v>4161561525</v>
      </c>
      <c r="C163" s="416">
        <v>80</v>
      </c>
      <c r="D163" s="416">
        <f t="shared" si="36"/>
        <v>11.0974974</v>
      </c>
      <c r="E163" s="423">
        <v>66</v>
      </c>
      <c r="F163" s="415">
        <f t="shared" si="37"/>
        <v>9.1554353549999998</v>
      </c>
      <c r="G163" s="415">
        <v>6.6</v>
      </c>
      <c r="H163" s="415">
        <f t="shared" si="38"/>
        <v>0.91554353550000001</v>
      </c>
      <c r="I163" s="415">
        <v>332</v>
      </c>
      <c r="J163" s="415">
        <f t="shared" si="32"/>
        <v>46.054614209999997</v>
      </c>
      <c r="K163" s="415">
        <f t="shared" si="39"/>
        <v>332</v>
      </c>
      <c r="L163" s="415">
        <f t="shared" si="33"/>
        <v>46.054614209999997</v>
      </c>
      <c r="M163" s="94"/>
      <c r="O163" s="97" t="s">
        <v>6951</v>
      </c>
      <c r="P163" s="18">
        <v>700000</v>
      </c>
      <c r="Q163" s="97">
        <v>6</v>
      </c>
      <c r="R163" s="97">
        <f t="shared" si="34"/>
        <v>90</v>
      </c>
      <c r="S163" s="18">
        <f t="shared" si="35"/>
        <v>63000000</v>
      </c>
      <c r="T163" s="97"/>
      <c r="Y163" t="s">
        <v>25</v>
      </c>
    </row>
    <row r="164" spans="1:25" ht="15.75">
      <c r="A164" s="417" t="s">
        <v>6466</v>
      </c>
      <c r="B164" s="418">
        <v>5610540000</v>
      </c>
      <c r="C164" s="418">
        <v>60</v>
      </c>
      <c r="D164" s="418">
        <f t="shared" si="36"/>
        <v>11.221080000000001</v>
      </c>
      <c r="E164" s="421">
        <v>58</v>
      </c>
      <c r="F164" s="417">
        <f t="shared" si="37"/>
        <v>10.847044</v>
      </c>
      <c r="G164" s="417">
        <v>15</v>
      </c>
      <c r="H164" s="417">
        <f t="shared" si="38"/>
        <v>2.8052700000000002</v>
      </c>
      <c r="I164" s="417">
        <v>216</v>
      </c>
      <c r="J164" s="417">
        <f t="shared" si="32"/>
        <v>40.395887999999999</v>
      </c>
      <c r="K164" s="415">
        <f t="shared" si="39"/>
        <v>216</v>
      </c>
      <c r="L164" s="417">
        <f>B164*K164/$M$159</f>
        <v>40.395887999999999</v>
      </c>
      <c r="M164" s="94"/>
      <c r="O164" s="97" t="s">
        <v>6953</v>
      </c>
      <c r="P164" s="18">
        <v>-700000</v>
      </c>
      <c r="Q164" s="97">
        <v>22</v>
      </c>
      <c r="R164" s="97">
        <f t="shared" ref="R164:R172" si="40">Q164+R165</f>
        <v>84</v>
      </c>
      <c r="S164" s="18">
        <f t="shared" ref="S164:S172" si="41">P164*R164</f>
        <v>-58800000</v>
      </c>
      <c r="T164" s="97"/>
    </row>
    <row r="165" spans="1:25" ht="15.75">
      <c r="A165" s="415" t="s">
        <v>4520</v>
      </c>
      <c r="B165" s="416">
        <v>978026662</v>
      </c>
      <c r="C165" s="416">
        <v>140</v>
      </c>
      <c r="D165" s="416">
        <f t="shared" si="36"/>
        <v>4.5641244226666666</v>
      </c>
      <c r="E165" s="423">
        <v>50</v>
      </c>
      <c r="F165" s="415">
        <f t="shared" si="37"/>
        <v>1.6300444366666667</v>
      </c>
      <c r="G165" s="415">
        <v>50</v>
      </c>
      <c r="H165" s="415">
        <f t="shared" si="38"/>
        <v>1.6300444366666667</v>
      </c>
      <c r="I165" s="415">
        <v>648</v>
      </c>
      <c r="J165" s="415">
        <f t="shared" si="32"/>
        <v>21.125375899200002</v>
      </c>
      <c r="K165" s="415">
        <f t="shared" si="39"/>
        <v>648</v>
      </c>
      <c r="L165" s="415">
        <f t="shared" si="33"/>
        <v>21.125375899200002</v>
      </c>
      <c r="M165" s="94"/>
      <c r="O165" s="97" t="s">
        <v>7034</v>
      </c>
      <c r="P165" s="18">
        <v>1000000</v>
      </c>
      <c r="Q165" s="97">
        <v>7</v>
      </c>
      <c r="R165" s="97">
        <f t="shared" si="40"/>
        <v>62</v>
      </c>
      <c r="S165" s="18">
        <f t="shared" si="41"/>
        <v>62000000</v>
      </c>
      <c r="T165" s="97"/>
    </row>
    <row r="166" spans="1:25" ht="15.75">
      <c r="A166" s="415" t="s">
        <v>6468</v>
      </c>
      <c r="B166" s="416">
        <v>337500000</v>
      </c>
      <c r="C166" s="416">
        <v>280</v>
      </c>
      <c r="D166" s="416">
        <f t="shared" si="36"/>
        <v>3.15</v>
      </c>
      <c r="E166" s="423">
        <v>219.8</v>
      </c>
      <c r="F166" s="415">
        <f t="shared" si="37"/>
        <v>2.47275</v>
      </c>
      <c r="G166" s="415">
        <v>237</v>
      </c>
      <c r="H166" s="415">
        <f t="shared" si="38"/>
        <v>2.6662499999999998</v>
      </c>
      <c r="I166" s="415">
        <v>1641</v>
      </c>
      <c r="J166" s="415">
        <f t="shared" si="32"/>
        <v>18.46125</v>
      </c>
      <c r="K166" s="415">
        <f t="shared" si="39"/>
        <v>1641</v>
      </c>
      <c r="L166" s="415">
        <f t="shared" si="33"/>
        <v>18.46125</v>
      </c>
      <c r="M166" s="94"/>
      <c r="O166" s="97" t="s">
        <v>7050</v>
      </c>
      <c r="P166" s="18">
        <v>-1000000</v>
      </c>
      <c r="Q166" s="97">
        <v>33</v>
      </c>
      <c r="R166" s="97">
        <f t="shared" si="40"/>
        <v>55</v>
      </c>
      <c r="S166" s="18">
        <f t="shared" si="41"/>
        <v>-55000000</v>
      </c>
      <c r="T166" s="97"/>
      <c r="X166" t="s">
        <v>25</v>
      </c>
    </row>
    <row r="167" spans="1:25" ht="15.75">
      <c r="A167" s="417" t="s">
        <v>5794</v>
      </c>
      <c r="B167" s="418">
        <v>35697979</v>
      </c>
      <c r="C167" s="418">
        <v>300</v>
      </c>
      <c r="D167" s="418">
        <f t="shared" si="36"/>
        <v>0.35697979000000002</v>
      </c>
      <c r="E167" s="421">
        <v>223</v>
      </c>
      <c r="F167" s="417">
        <f t="shared" si="37"/>
        <v>0.26535497723333334</v>
      </c>
      <c r="G167" s="417">
        <v>80</v>
      </c>
      <c r="H167" s="417">
        <f t="shared" si="38"/>
        <v>9.5194610666666665E-2</v>
      </c>
      <c r="I167" s="417">
        <v>1607</v>
      </c>
      <c r="J167" s="417">
        <f t="shared" si="32"/>
        <v>1.9122217417666667</v>
      </c>
      <c r="K167" s="415">
        <f t="shared" si="39"/>
        <v>1607</v>
      </c>
      <c r="L167" s="417">
        <f t="shared" si="33"/>
        <v>1.9122217417666667</v>
      </c>
      <c r="M167" s="94"/>
      <c r="O167" s="97" t="s">
        <v>7101</v>
      </c>
      <c r="P167" s="18">
        <v>2000000</v>
      </c>
      <c r="Q167" s="97">
        <v>21</v>
      </c>
      <c r="R167" s="97">
        <f t="shared" si="40"/>
        <v>22</v>
      </c>
      <c r="S167" s="18">
        <f t="shared" si="41"/>
        <v>44000000</v>
      </c>
      <c r="T167" s="97"/>
    </row>
    <row r="168" spans="1:25" ht="15.75">
      <c r="A168" s="415" t="s">
        <v>5957</v>
      </c>
      <c r="B168" s="416">
        <v>158220192</v>
      </c>
      <c r="C168" s="416">
        <v>800</v>
      </c>
      <c r="D168" s="416">
        <f t="shared" si="36"/>
        <v>4.2192051199999998</v>
      </c>
      <c r="E168" s="423">
        <v>578</v>
      </c>
      <c r="F168" s="415">
        <f t="shared" si="37"/>
        <v>3.0483756992000002</v>
      </c>
      <c r="G168" s="415">
        <v>300</v>
      </c>
      <c r="H168" s="415">
        <f t="shared" si="38"/>
        <v>1.5822019199999999</v>
      </c>
      <c r="I168" s="415">
        <v>1453</v>
      </c>
      <c r="J168" s="415">
        <f t="shared" si="32"/>
        <v>7.6631312991999998</v>
      </c>
      <c r="K168" s="415">
        <f t="shared" si="39"/>
        <v>1453</v>
      </c>
      <c r="L168" s="415">
        <f t="shared" si="33"/>
        <v>7.6631312991999998</v>
      </c>
      <c r="M168" s="94"/>
      <c r="N168" s="94"/>
      <c r="O168" s="97" t="s">
        <v>7129</v>
      </c>
      <c r="P168" s="18">
        <v>-2000000</v>
      </c>
      <c r="Q168" s="97">
        <v>1</v>
      </c>
      <c r="R168" s="97">
        <f t="shared" si="40"/>
        <v>1</v>
      </c>
      <c r="S168" s="18">
        <f t="shared" si="41"/>
        <v>-2000000</v>
      </c>
      <c r="T168" s="97"/>
    </row>
    <row r="169" spans="1:25" ht="15.75">
      <c r="A169" s="417" t="s">
        <v>4371</v>
      </c>
      <c r="B169" s="418">
        <v>101805550</v>
      </c>
      <c r="C169" s="418">
        <v>800</v>
      </c>
      <c r="D169" s="418">
        <f t="shared" si="36"/>
        <v>2.7148146666666668</v>
      </c>
      <c r="E169" s="421">
        <v>424</v>
      </c>
      <c r="F169" s="417">
        <f t="shared" si="37"/>
        <v>1.4388517733333333</v>
      </c>
      <c r="G169" s="417">
        <v>370</v>
      </c>
      <c r="H169" s="417">
        <f t="shared" si="38"/>
        <v>1.2556017833333333</v>
      </c>
      <c r="I169" s="417">
        <v>4589</v>
      </c>
      <c r="J169" s="417">
        <f t="shared" si="32"/>
        <v>15.572855631666666</v>
      </c>
      <c r="K169" s="415">
        <f t="shared" si="39"/>
        <v>4589</v>
      </c>
      <c r="L169" s="417">
        <f t="shared" si="33"/>
        <v>15.572855631666666</v>
      </c>
      <c r="M169" s="94"/>
      <c r="N169" s="94"/>
      <c r="O169" s="97"/>
      <c r="P169" s="18"/>
      <c r="Q169" s="97"/>
      <c r="R169" s="97">
        <f t="shared" si="40"/>
        <v>0</v>
      </c>
      <c r="S169" s="18">
        <f t="shared" si="41"/>
        <v>0</v>
      </c>
      <c r="T169" s="97"/>
    </row>
    <row r="170" spans="1:25" ht="15.75">
      <c r="A170" s="415" t="s">
        <v>6923</v>
      </c>
      <c r="B170" s="416">
        <v>1</v>
      </c>
      <c r="C170" s="416">
        <v>1000000000000</v>
      </c>
      <c r="D170" s="416">
        <f t="shared" si="36"/>
        <v>33.333333333333336</v>
      </c>
      <c r="E170" s="416">
        <v>600000000000</v>
      </c>
      <c r="F170" s="415">
        <f t="shared" si="37"/>
        <v>20</v>
      </c>
      <c r="G170" s="416">
        <v>400000000000</v>
      </c>
      <c r="H170" s="415">
        <f t="shared" si="38"/>
        <v>13.333333333333334</v>
      </c>
      <c r="I170" s="415">
        <v>6000000000000</v>
      </c>
      <c r="J170" s="415">
        <f t="shared" si="32"/>
        <v>200</v>
      </c>
      <c r="K170" s="415">
        <f t="shared" si="39"/>
        <v>6000000000000</v>
      </c>
      <c r="L170" s="415">
        <f t="shared" si="33"/>
        <v>200</v>
      </c>
      <c r="M170" s="94"/>
      <c r="N170" s="94"/>
      <c r="O170" s="97"/>
      <c r="P170" s="18"/>
      <c r="Q170" s="97"/>
      <c r="R170" s="97">
        <f t="shared" si="40"/>
        <v>0</v>
      </c>
      <c r="S170" s="18">
        <f t="shared" si="41"/>
        <v>0</v>
      </c>
      <c r="T170" s="97"/>
    </row>
    <row r="171" spans="1:25" ht="15.75">
      <c r="A171" s="417" t="s">
        <v>6469</v>
      </c>
      <c r="B171" s="418">
        <v>1</v>
      </c>
      <c r="C171" s="418">
        <v>750000000000</v>
      </c>
      <c r="D171" s="418">
        <f t="shared" si="36"/>
        <v>25</v>
      </c>
      <c r="E171" s="418">
        <v>500000000000</v>
      </c>
      <c r="F171" s="417">
        <f t="shared" si="37"/>
        <v>16.666666666666668</v>
      </c>
      <c r="G171" s="418">
        <v>300000000000</v>
      </c>
      <c r="H171" s="417">
        <f t="shared" si="38"/>
        <v>10</v>
      </c>
      <c r="I171" s="417">
        <v>4000000000000</v>
      </c>
      <c r="J171" s="417">
        <f t="shared" si="32"/>
        <v>133.33333333333334</v>
      </c>
      <c r="K171" s="415">
        <f t="shared" si="39"/>
        <v>4000000000000</v>
      </c>
      <c r="L171" s="417">
        <f t="shared" si="33"/>
        <v>133.33333333333334</v>
      </c>
      <c r="M171" s="94"/>
      <c r="N171" s="94"/>
      <c r="O171" s="97"/>
      <c r="P171" s="18"/>
      <c r="Q171" s="97"/>
      <c r="R171" s="97">
        <f t="shared" si="40"/>
        <v>0</v>
      </c>
      <c r="S171" s="18">
        <f t="shared" si="41"/>
        <v>0</v>
      </c>
      <c r="T171" s="97"/>
    </row>
    <row r="172" spans="1:25" ht="15.75">
      <c r="A172" s="419"/>
      <c r="B172" s="412"/>
      <c r="C172" s="412"/>
      <c r="D172" s="412"/>
      <c r="E172" s="419"/>
      <c r="F172" s="419"/>
      <c r="G172" s="419"/>
      <c r="H172" s="419"/>
      <c r="I172" s="419"/>
      <c r="J172" s="419"/>
      <c r="K172" s="419"/>
      <c r="L172" s="415">
        <f t="shared" si="33"/>
        <v>0</v>
      </c>
      <c r="M172" s="94"/>
      <c r="N172" s="94"/>
      <c r="O172" s="97"/>
      <c r="P172" s="18"/>
      <c r="Q172" s="97"/>
      <c r="R172" s="97">
        <f t="shared" si="40"/>
        <v>0</v>
      </c>
      <c r="S172" s="18">
        <f t="shared" si="41"/>
        <v>0</v>
      </c>
      <c r="T172" s="97"/>
    </row>
    <row r="173" spans="1:25" ht="60">
      <c r="A173" s="419"/>
      <c r="B173" s="419"/>
      <c r="C173" s="419"/>
      <c r="D173" s="419">
        <f>SUM(D160:D172)</f>
        <v>159.88870956</v>
      </c>
      <c r="E173" s="419"/>
      <c r="F173" s="419">
        <f>SUM(F160:F172)</f>
        <v>105.06668125223334</v>
      </c>
      <c r="G173" s="419"/>
      <c r="H173" s="419">
        <f>SUM(H160:H172)</f>
        <v>62.074569039966669</v>
      </c>
      <c r="I173" s="420" t="s">
        <v>4433</v>
      </c>
      <c r="J173" s="420">
        <f>SUM(J159:J171)</f>
        <v>1021.9692783299</v>
      </c>
      <c r="K173" s="420" t="s">
        <v>4433</v>
      </c>
      <c r="L173" s="425">
        <f>SUM(L159:L171)</f>
        <v>1251.3070011932332</v>
      </c>
      <c r="M173" s="94"/>
      <c r="N173" s="94"/>
      <c r="O173" s="97"/>
      <c r="P173" s="18">
        <f>SUM(P32:P172)</f>
        <v>43000000</v>
      </c>
      <c r="Q173" s="97"/>
      <c r="R173" s="97"/>
      <c r="S173" s="18">
        <f>SUM(S141:S172)</f>
        <v>10467054256</v>
      </c>
      <c r="T173" s="36" t="s">
        <v>7137</v>
      </c>
    </row>
    <row r="174" spans="1:25" ht="21">
      <c r="A174" s="419"/>
      <c r="B174" s="419"/>
      <c r="C174" s="419"/>
      <c r="D174" s="419" t="s">
        <v>6</v>
      </c>
      <c r="E174" s="419"/>
      <c r="F174" s="419" t="s">
        <v>6</v>
      </c>
      <c r="G174" s="419"/>
      <c r="H174" s="419" t="s">
        <v>6</v>
      </c>
      <c r="I174" s="420" t="s">
        <v>5009</v>
      </c>
      <c r="J174" s="420">
        <v>430</v>
      </c>
      <c r="K174" s="420"/>
      <c r="L174" s="425"/>
      <c r="M174" s="94"/>
      <c r="N174" s="94"/>
      <c r="P174" t="s">
        <v>4896</v>
      </c>
      <c r="U174" t="s">
        <v>25</v>
      </c>
    </row>
    <row r="175" spans="1:25" ht="21">
      <c r="A175" s="419"/>
      <c r="B175" s="419"/>
      <c r="C175" s="419"/>
      <c r="D175" s="419"/>
      <c r="E175" s="419"/>
      <c r="F175" s="419"/>
      <c r="G175" s="419"/>
      <c r="H175" s="419"/>
      <c r="I175" s="420" t="s">
        <v>5010</v>
      </c>
      <c r="J175" s="420">
        <f>J174/J173</f>
        <v>0.42075628799987519</v>
      </c>
      <c r="K175" s="420" t="s">
        <v>5010</v>
      </c>
      <c r="L175" s="425">
        <f>J174/L173</f>
        <v>0.34364068896758071</v>
      </c>
      <c r="M175" s="94"/>
      <c r="N175" s="94"/>
    </row>
    <row r="176" spans="1:25">
      <c r="I176" s="94"/>
      <c r="J176" s="94"/>
      <c r="K176" s="94"/>
      <c r="N176" s="94"/>
      <c r="P176" s="94"/>
    </row>
    <row r="177" spans="1:21">
      <c r="I177" s="94"/>
      <c r="J177" s="94"/>
      <c r="K177" s="94"/>
      <c r="N177" s="94"/>
      <c r="S177" t="s">
        <v>25</v>
      </c>
    </row>
    <row r="178" spans="1:21">
      <c r="I178" s="94"/>
      <c r="J178" s="94"/>
      <c r="K178" s="94"/>
      <c r="N178" s="94"/>
      <c r="Q178" t="s">
        <v>25</v>
      </c>
      <c r="R178" t="s">
        <v>25</v>
      </c>
    </row>
    <row r="179" spans="1:21" ht="15.75">
      <c r="A179" s="176" t="s">
        <v>4822</v>
      </c>
      <c r="B179" s="176" t="s">
        <v>4823</v>
      </c>
      <c r="C179" s="424" t="s">
        <v>6926</v>
      </c>
      <c r="D179" s="176" t="s">
        <v>6925</v>
      </c>
      <c r="E179" s="424" t="s">
        <v>6927</v>
      </c>
      <c r="F179" s="176" t="s">
        <v>6928</v>
      </c>
      <c r="G179" s="176" t="s">
        <v>6433</v>
      </c>
      <c r="H179" s="176" t="s">
        <v>6938</v>
      </c>
      <c r="I179" s="176" t="s">
        <v>4245</v>
      </c>
      <c r="J179" s="176" t="s">
        <v>4907</v>
      </c>
      <c r="K179" s="413" t="s">
        <v>5790</v>
      </c>
      <c r="O179" t="s">
        <v>25</v>
      </c>
      <c r="R179" t="s">
        <v>25</v>
      </c>
    </row>
    <row r="180" spans="1:21" ht="15.75">
      <c r="A180" s="415" t="s">
        <v>6929</v>
      </c>
      <c r="B180" s="416">
        <v>980726326</v>
      </c>
      <c r="C180" s="416">
        <v>800</v>
      </c>
      <c r="D180" s="416">
        <f>B180*C180/$K$180</f>
        <v>9.6267614822085896</v>
      </c>
      <c r="E180" s="423">
        <v>534</v>
      </c>
      <c r="F180" s="415">
        <f>B180*E180/$K$180</f>
        <v>6.4258632893742336</v>
      </c>
      <c r="G180" s="415">
        <v>500</v>
      </c>
      <c r="H180" s="415">
        <f>B180*G180/$K$180</f>
        <v>6.0167259263803681</v>
      </c>
      <c r="I180" s="415">
        <v>4383</v>
      </c>
      <c r="J180" s="415">
        <f>B180*I180/$K$180</f>
        <v>52.742619470650304</v>
      </c>
      <c r="K180" s="416">
        <v>81500000000</v>
      </c>
      <c r="P180" t="s">
        <v>25</v>
      </c>
      <c r="R180" t="s">
        <v>25</v>
      </c>
    </row>
    <row r="181" spans="1:21" ht="15.75">
      <c r="A181" s="417" t="s">
        <v>4476</v>
      </c>
      <c r="B181" s="418">
        <v>478789262</v>
      </c>
      <c r="C181" s="418">
        <v>2000</v>
      </c>
      <c r="D181" s="416">
        <f t="shared" ref="D181:D199" si="42">B181*C181/$K$180</f>
        <v>11.749429742331289</v>
      </c>
      <c r="E181" s="421">
        <v>6439</v>
      </c>
      <c r="F181" s="415">
        <f t="shared" ref="F181:F198" si="43">B181*E181/$K$180</f>
        <v>37.827289055435585</v>
      </c>
      <c r="G181" s="417">
        <v>6400</v>
      </c>
      <c r="H181" s="415">
        <f t="shared" ref="H181:H199" si="44">B181*G181/$K$180</f>
        <v>37.598175175460121</v>
      </c>
      <c r="I181" s="417">
        <v>37780</v>
      </c>
      <c r="J181" s="415">
        <f t="shared" ref="J181:J199" si="45">B181*I181/$K$180</f>
        <v>221.94672783263803</v>
      </c>
      <c r="K181" s="414"/>
      <c r="R181" t="s">
        <v>25</v>
      </c>
      <c r="U181" s="94"/>
    </row>
    <row r="182" spans="1:21" ht="15.75">
      <c r="A182" s="415" t="s">
        <v>6937</v>
      </c>
      <c r="B182" s="416">
        <v>1226605805</v>
      </c>
      <c r="C182" s="416">
        <v>150</v>
      </c>
      <c r="D182" s="416">
        <f t="shared" si="42"/>
        <v>2.2575566963190186</v>
      </c>
      <c r="E182" s="423">
        <v>108</v>
      </c>
      <c r="F182" s="415">
        <f t="shared" si="43"/>
        <v>1.6254408213496931</v>
      </c>
      <c r="G182" s="415">
        <v>10.8</v>
      </c>
      <c r="H182" s="415">
        <f t="shared" si="44"/>
        <v>0.16254408213496932</v>
      </c>
      <c r="I182" s="415">
        <v>1242</v>
      </c>
      <c r="J182" s="415">
        <f t="shared" si="45"/>
        <v>18.692569445521471</v>
      </c>
      <c r="K182" s="414"/>
      <c r="O182" t="s">
        <v>25</v>
      </c>
      <c r="U182" s="94"/>
    </row>
    <row r="183" spans="1:21" ht="15.75">
      <c r="A183" s="417" t="s">
        <v>6936</v>
      </c>
      <c r="B183" s="418">
        <v>2939645030</v>
      </c>
      <c r="C183" s="418">
        <v>10</v>
      </c>
      <c r="D183" s="416">
        <f t="shared" si="42"/>
        <v>0.36069264171779142</v>
      </c>
      <c r="E183" s="421">
        <v>3.2</v>
      </c>
      <c r="F183" s="415">
        <f t="shared" si="43"/>
        <v>0.11542164534969325</v>
      </c>
      <c r="G183" s="417">
        <v>0</v>
      </c>
      <c r="H183" s="415">
        <f t="shared" si="44"/>
        <v>0</v>
      </c>
      <c r="I183" s="417">
        <v>473</v>
      </c>
      <c r="J183" s="415">
        <f t="shared" si="45"/>
        <v>17.060761953251532</v>
      </c>
      <c r="K183" s="414"/>
      <c r="T183" t="s">
        <v>25</v>
      </c>
      <c r="U183" s="94"/>
    </row>
    <row r="184" spans="1:21" ht="15.75">
      <c r="A184" s="415" t="s">
        <v>6939</v>
      </c>
      <c r="B184" s="416">
        <v>1270296458</v>
      </c>
      <c r="C184" s="416">
        <v>300</v>
      </c>
      <c r="D184" s="416">
        <f t="shared" si="42"/>
        <v>4.6759378822085891</v>
      </c>
      <c r="E184" s="423">
        <v>300</v>
      </c>
      <c r="F184" s="415">
        <f t="shared" si="43"/>
        <v>4.6759378822085891</v>
      </c>
      <c r="G184" s="415">
        <v>270</v>
      </c>
      <c r="H184" s="415">
        <f t="shared" si="44"/>
        <v>4.2083440939877299</v>
      </c>
      <c r="I184" s="415">
        <v>2402</v>
      </c>
      <c r="J184" s="415">
        <f t="shared" si="45"/>
        <v>37.438675976883438</v>
      </c>
      <c r="K184" s="414"/>
      <c r="R184" t="s">
        <v>25</v>
      </c>
      <c r="U184" s="94"/>
    </row>
    <row r="185" spans="1:21" ht="15.75">
      <c r="A185" s="417" t="s">
        <v>5797</v>
      </c>
      <c r="B185" s="418">
        <v>1336082292</v>
      </c>
      <c r="C185" s="418">
        <v>2500</v>
      </c>
      <c r="D185" s="416">
        <f t="shared" si="42"/>
        <v>40.984119386503068</v>
      </c>
      <c r="E185" s="421">
        <v>1450</v>
      </c>
      <c r="F185" s="415">
        <f t="shared" si="43"/>
        <v>23.77078924417178</v>
      </c>
      <c r="G185" s="417">
        <v>1150</v>
      </c>
      <c r="H185" s="415">
        <f t="shared" si="44"/>
        <v>18.85269491779141</v>
      </c>
      <c r="I185" s="417">
        <v>18424</v>
      </c>
      <c r="J185" s="415">
        <f t="shared" si="45"/>
        <v>302.03656623077302</v>
      </c>
      <c r="K185" s="414"/>
      <c r="U185" s="94"/>
    </row>
    <row r="186" spans="1:21" ht="15.75">
      <c r="A186" s="415" t="s">
        <v>4371</v>
      </c>
      <c r="B186" s="416">
        <v>1344540394</v>
      </c>
      <c r="C186" s="416">
        <v>800</v>
      </c>
      <c r="D186" s="416">
        <f t="shared" si="42"/>
        <v>13.197942517791411</v>
      </c>
      <c r="E186" s="423">
        <v>450</v>
      </c>
      <c r="F186" s="415">
        <f t="shared" si="43"/>
        <v>7.4238426662576691</v>
      </c>
      <c r="G186" s="415">
        <v>350</v>
      </c>
      <c r="H186" s="415">
        <f t="shared" si="44"/>
        <v>5.7740998515337427</v>
      </c>
      <c r="I186" s="415">
        <v>4330</v>
      </c>
      <c r="J186" s="415">
        <f t="shared" si="45"/>
        <v>71.433863877546017</v>
      </c>
      <c r="K186" s="414"/>
    </row>
    <row r="187" spans="1:21" ht="15.75">
      <c r="A187" s="417" t="s">
        <v>6940</v>
      </c>
      <c r="B187" s="418">
        <v>1200002514</v>
      </c>
      <c r="C187" s="418">
        <v>300</v>
      </c>
      <c r="D187" s="416">
        <f t="shared" si="42"/>
        <v>4.4171871680981596</v>
      </c>
      <c r="E187" s="421">
        <v>300</v>
      </c>
      <c r="F187" s="415">
        <f t="shared" si="43"/>
        <v>4.4171871680981596</v>
      </c>
      <c r="G187" s="417">
        <v>250</v>
      </c>
      <c r="H187" s="415">
        <f t="shared" si="44"/>
        <v>3.6809893067484665</v>
      </c>
      <c r="I187" s="417">
        <v>1897</v>
      </c>
      <c r="J187" s="415">
        <f t="shared" si="45"/>
        <v>27.931346859607363</v>
      </c>
      <c r="K187" s="414"/>
      <c r="Q187" s="94"/>
      <c r="R187" s="94"/>
    </row>
    <row r="188" spans="1:21" ht="15.75">
      <c r="A188" s="415" t="s">
        <v>4477</v>
      </c>
      <c r="B188" s="416">
        <v>1114663695</v>
      </c>
      <c r="C188" s="416">
        <v>600</v>
      </c>
      <c r="D188" s="416">
        <f t="shared" si="42"/>
        <v>8.2061130920245393</v>
      </c>
      <c r="E188" s="423">
        <v>650</v>
      </c>
      <c r="F188" s="415">
        <f t="shared" si="43"/>
        <v>8.8899558496932514</v>
      </c>
      <c r="G188" s="415">
        <v>600</v>
      </c>
      <c r="H188" s="415">
        <f t="shared" si="44"/>
        <v>8.2061130920245393</v>
      </c>
      <c r="I188" s="415">
        <v>5020</v>
      </c>
      <c r="J188" s="415">
        <f t="shared" si="45"/>
        <v>68.657812869938653</v>
      </c>
      <c r="K188" s="414"/>
      <c r="Q188" s="94"/>
      <c r="R188" s="94"/>
    </row>
    <row r="189" spans="1:21" ht="15.75">
      <c r="A189" s="417" t="s">
        <v>5761</v>
      </c>
      <c r="B189" s="418">
        <v>2321974047</v>
      </c>
      <c r="C189" s="418">
        <v>900</v>
      </c>
      <c r="D189" s="416">
        <f t="shared" si="42"/>
        <v>25.641431193865031</v>
      </c>
      <c r="E189" s="421">
        <v>727</v>
      </c>
      <c r="F189" s="415">
        <f t="shared" si="43"/>
        <v>20.712578308822085</v>
      </c>
      <c r="G189" s="417">
        <v>650</v>
      </c>
      <c r="H189" s="415">
        <f t="shared" si="44"/>
        <v>18.518811417791412</v>
      </c>
      <c r="I189" s="417">
        <v>4707</v>
      </c>
      <c r="J189" s="415">
        <f t="shared" si="45"/>
        <v>134.10468514391411</v>
      </c>
      <c r="K189" s="414"/>
      <c r="Q189" s="94"/>
      <c r="R189" s="94"/>
      <c r="S189" s="94"/>
      <c r="T189" s="94"/>
    </row>
    <row r="190" spans="1:21" ht="15.75">
      <c r="A190" s="415" t="s">
        <v>4831</v>
      </c>
      <c r="B190" s="416">
        <v>770933241</v>
      </c>
      <c r="C190" s="416">
        <v>1700</v>
      </c>
      <c r="D190" s="416">
        <f t="shared" si="42"/>
        <v>16.080816069938649</v>
      </c>
      <c r="E190" s="423">
        <v>802</v>
      </c>
      <c r="F190" s="415">
        <f t="shared" si="43"/>
        <v>7.586361463582822</v>
      </c>
      <c r="G190" s="415">
        <v>590</v>
      </c>
      <c r="H190" s="415">
        <f t="shared" si="44"/>
        <v>5.5809891066257666</v>
      </c>
      <c r="I190" s="415">
        <v>8104</v>
      </c>
      <c r="J190" s="415">
        <f t="shared" si="45"/>
        <v>76.658196135754608</v>
      </c>
      <c r="K190" s="414"/>
      <c r="S190" s="94"/>
      <c r="T190" s="94"/>
    </row>
    <row r="191" spans="1:21" ht="21">
      <c r="A191" s="417" t="s">
        <v>5793</v>
      </c>
      <c r="B191" s="418">
        <v>21836381454</v>
      </c>
      <c r="C191" s="418">
        <v>150</v>
      </c>
      <c r="D191" s="416">
        <f>B191*C191/$K$180</f>
        <v>40.189659117791408</v>
      </c>
      <c r="E191" s="421">
        <v>134</v>
      </c>
      <c r="F191" s="415">
        <f>B191*E191/$K$180</f>
        <v>35.902762145226994</v>
      </c>
      <c r="G191" s="422">
        <v>60</v>
      </c>
      <c r="H191" s="425">
        <f t="shared" si="44"/>
        <v>16.075863647116563</v>
      </c>
      <c r="I191" s="417">
        <v>1210</v>
      </c>
      <c r="J191" s="415">
        <f t="shared" si="45"/>
        <v>324.19658355018407</v>
      </c>
      <c r="K191" s="414"/>
      <c r="S191" s="94"/>
      <c r="T191" s="94"/>
    </row>
    <row r="192" spans="1:21" ht="15.75">
      <c r="A192" s="415" t="s">
        <v>6930</v>
      </c>
      <c r="B192" s="416">
        <v>880634647</v>
      </c>
      <c r="C192" s="416">
        <v>1400</v>
      </c>
      <c r="D192" s="416">
        <f t="shared" si="42"/>
        <v>15.127466328834355</v>
      </c>
      <c r="E192" s="423">
        <v>1090</v>
      </c>
      <c r="F192" s="415">
        <f t="shared" si="43"/>
        <v>11.777813070306749</v>
      </c>
      <c r="G192" s="415">
        <v>1000</v>
      </c>
      <c r="H192" s="415">
        <f t="shared" si="44"/>
        <v>10.80533309202454</v>
      </c>
      <c r="I192" s="415">
        <v>9067</v>
      </c>
      <c r="J192" s="415">
        <f t="shared" si="45"/>
        <v>97.971955145386502</v>
      </c>
      <c r="K192" s="414"/>
      <c r="S192" s="94"/>
      <c r="T192" s="94"/>
    </row>
    <row r="193" spans="1:20" ht="15.75">
      <c r="A193" s="417" t="s">
        <v>5270</v>
      </c>
      <c r="B193" s="418">
        <v>5351332707</v>
      </c>
      <c r="C193" s="418">
        <v>160</v>
      </c>
      <c r="D193" s="416">
        <f t="shared" si="42"/>
        <v>10.50568384196319</v>
      </c>
      <c r="E193" s="421">
        <v>160</v>
      </c>
      <c r="F193" s="415">
        <f t="shared" si="43"/>
        <v>10.50568384196319</v>
      </c>
      <c r="G193" s="417">
        <v>150</v>
      </c>
      <c r="H193" s="415">
        <f t="shared" si="44"/>
        <v>9.8490786018404908</v>
      </c>
      <c r="I193" s="417">
        <v>941</v>
      </c>
      <c r="J193" s="415">
        <f t="shared" si="45"/>
        <v>61.786553095546012</v>
      </c>
      <c r="K193" s="414" t="s">
        <v>25</v>
      </c>
      <c r="S193" s="94"/>
      <c r="T193" s="94"/>
    </row>
    <row r="194" spans="1:20" ht="15.75">
      <c r="A194" s="415" t="s">
        <v>6931</v>
      </c>
      <c r="B194" s="416">
        <v>1376998000</v>
      </c>
      <c r="C194" s="416">
        <v>1800</v>
      </c>
      <c r="D194" s="416">
        <f t="shared" si="42"/>
        <v>30.412225766871167</v>
      </c>
      <c r="E194" s="423">
        <v>1370</v>
      </c>
      <c r="F194" s="415">
        <f t="shared" si="43"/>
        <v>23.147082944785275</v>
      </c>
      <c r="G194" s="415">
        <v>1420</v>
      </c>
      <c r="H194" s="415">
        <f t="shared" si="44"/>
        <v>23.991866993865031</v>
      </c>
      <c r="I194" s="415">
        <v>9875</v>
      </c>
      <c r="J194" s="415">
        <f t="shared" si="45"/>
        <v>166.84484969325155</v>
      </c>
      <c r="K194" s="414" t="s">
        <v>25</v>
      </c>
    </row>
    <row r="195" spans="1:20" ht="15.75">
      <c r="A195" s="417" t="s">
        <v>6932</v>
      </c>
      <c r="B195" s="418">
        <v>174270956</v>
      </c>
      <c r="C195" s="418">
        <v>800</v>
      </c>
      <c r="D195" s="416">
        <f t="shared" si="42"/>
        <v>1.7106351509202453</v>
      </c>
      <c r="E195" s="421">
        <v>800</v>
      </c>
      <c r="F195" s="415">
        <f t="shared" si="43"/>
        <v>1.7106351509202453</v>
      </c>
      <c r="G195" s="417">
        <v>600</v>
      </c>
      <c r="H195" s="415">
        <f t="shared" si="44"/>
        <v>1.282976363190184</v>
      </c>
      <c r="I195" s="417">
        <v>6319</v>
      </c>
      <c r="J195" s="415">
        <f t="shared" si="45"/>
        <v>13.511879398331288</v>
      </c>
      <c r="K195" s="414"/>
    </row>
    <row r="196" spans="1:20" ht="15.75">
      <c r="A196" s="415" t="s">
        <v>6933</v>
      </c>
      <c r="B196" s="416">
        <v>1</v>
      </c>
      <c r="C196" s="416">
        <v>350000000000</v>
      </c>
      <c r="D196" s="416">
        <f t="shared" si="42"/>
        <v>4.294478527607362</v>
      </c>
      <c r="E196" s="423">
        <v>300000000000</v>
      </c>
      <c r="F196" s="415">
        <f t="shared" si="43"/>
        <v>3.6809815950920246</v>
      </c>
      <c r="G196" s="415">
        <v>250000000000</v>
      </c>
      <c r="H196" s="415">
        <f t="shared" si="44"/>
        <v>3.0674846625766872</v>
      </c>
      <c r="I196" s="415">
        <v>1800000000000</v>
      </c>
      <c r="J196" s="415">
        <f t="shared" si="45"/>
        <v>22.085889570552148</v>
      </c>
      <c r="K196" s="414"/>
    </row>
    <row r="197" spans="1:20" ht="15.75">
      <c r="A197" s="417" t="s">
        <v>6934</v>
      </c>
      <c r="B197" s="418">
        <v>12494998000</v>
      </c>
      <c r="C197" s="418">
        <v>800</v>
      </c>
      <c r="D197" s="416">
        <f t="shared" si="42"/>
        <v>122.65028711656441</v>
      </c>
      <c r="E197" s="421">
        <v>595</v>
      </c>
      <c r="F197" s="415">
        <f t="shared" si="43"/>
        <v>91.221151042944783</v>
      </c>
      <c r="G197" s="417">
        <v>59.5</v>
      </c>
      <c r="H197" s="415">
        <f t="shared" si="44"/>
        <v>9.1221151042944779</v>
      </c>
      <c r="I197" s="417">
        <v>3000</v>
      </c>
      <c r="J197" s="415">
        <f t="shared" si="45"/>
        <v>459.93857668711655</v>
      </c>
      <c r="K197" s="414"/>
    </row>
    <row r="198" spans="1:20" ht="15.75">
      <c r="A198" s="415" t="s">
        <v>6935</v>
      </c>
      <c r="B198" s="416">
        <v>3062221439</v>
      </c>
      <c r="C198" s="416">
        <v>30</v>
      </c>
      <c r="D198" s="416">
        <f t="shared" si="42"/>
        <v>1.1271980757055216</v>
      </c>
      <c r="E198" s="423">
        <v>20</v>
      </c>
      <c r="F198" s="415">
        <f t="shared" si="43"/>
        <v>0.751465383803681</v>
      </c>
      <c r="G198" s="415">
        <v>2</v>
      </c>
      <c r="H198" s="415">
        <f t="shared" si="44"/>
        <v>7.5146538380368097E-2</v>
      </c>
      <c r="I198" s="415">
        <v>2000</v>
      </c>
      <c r="J198" s="415">
        <f t="shared" si="45"/>
        <v>75.146538380368099</v>
      </c>
    </row>
    <row r="199" spans="1:20" ht="15.75">
      <c r="A199" s="417" t="s">
        <v>6469</v>
      </c>
      <c r="B199" s="418">
        <v>1</v>
      </c>
      <c r="C199" s="418">
        <v>750000000000</v>
      </c>
      <c r="D199" s="416">
        <f t="shared" si="42"/>
        <v>9.2024539877300615</v>
      </c>
      <c r="E199" s="418">
        <v>500000000000</v>
      </c>
      <c r="F199" s="415">
        <f>B199*E199/$K$180</f>
        <v>6.1349693251533743</v>
      </c>
      <c r="G199" s="418">
        <v>300000000000</v>
      </c>
      <c r="H199" s="415">
        <f t="shared" si="44"/>
        <v>3.6809815950920246</v>
      </c>
      <c r="I199" s="417">
        <v>4000000000000</v>
      </c>
      <c r="J199" s="415">
        <f t="shared" si="45"/>
        <v>49.079754601226995</v>
      </c>
    </row>
    <row r="200" spans="1:20" ht="15.75">
      <c r="A200" s="419"/>
      <c r="B200" s="412"/>
      <c r="C200" s="412"/>
      <c r="D200" s="412"/>
      <c r="E200" s="419"/>
      <c r="F200" s="419"/>
      <c r="G200" s="419"/>
      <c r="H200" s="419"/>
      <c r="I200" s="419"/>
      <c r="J200" s="419"/>
      <c r="Q200" t="s">
        <v>25</v>
      </c>
    </row>
    <row r="201" spans="1:20" ht="21">
      <c r="A201" s="419"/>
      <c r="B201" s="419"/>
      <c r="C201" s="419"/>
      <c r="D201" s="412">
        <f>SUM(D180:D200)</f>
        <v>372.41807578699377</v>
      </c>
      <c r="E201" s="419"/>
      <c r="F201" s="419">
        <f>SUM(F181:F200)</f>
        <v>301.87734860516559</v>
      </c>
      <c r="G201" s="419"/>
      <c r="H201" s="419">
        <f>SUM(H180:H200)</f>
        <v>186.55033356885892</v>
      </c>
      <c r="I201" s="420" t="s">
        <v>4433</v>
      </c>
      <c r="J201" s="420">
        <f>SUM(J180:J199)</f>
        <v>2299.2664059184417</v>
      </c>
    </row>
    <row r="202" spans="1:20" ht="21">
      <c r="A202" s="419"/>
      <c r="B202" s="419"/>
      <c r="C202" s="419"/>
      <c r="D202" s="419" t="s">
        <v>6</v>
      </c>
      <c r="E202" s="419"/>
      <c r="F202" s="419" t="s">
        <v>6</v>
      </c>
      <c r="G202" s="419"/>
      <c r="H202" s="419" t="s">
        <v>6</v>
      </c>
      <c r="I202" s="420" t="s">
        <v>5009</v>
      </c>
      <c r="J202" s="420">
        <v>1400</v>
      </c>
    </row>
    <row r="203" spans="1:20" ht="21">
      <c r="A203" s="419"/>
      <c r="B203" s="419"/>
      <c r="C203" s="419"/>
      <c r="D203" s="419"/>
      <c r="E203" s="419"/>
      <c r="F203" s="419"/>
      <c r="G203" s="419"/>
      <c r="H203" s="419"/>
      <c r="I203" s="420" t="s">
        <v>5010</v>
      </c>
      <c r="J203" s="420">
        <f>J202/J201</f>
        <v>0.6088898599989635</v>
      </c>
    </row>
    <row r="205" spans="1:20" ht="15.75">
      <c r="N205" s="413" t="s">
        <v>25</v>
      </c>
    </row>
    <row r="208" spans="1:20" ht="15.75">
      <c r="A208" s="176" t="s">
        <v>4822</v>
      </c>
      <c r="B208" s="176" t="s">
        <v>4823</v>
      </c>
      <c r="C208" s="424" t="s">
        <v>6926</v>
      </c>
      <c r="D208" s="176" t="s">
        <v>6925</v>
      </c>
      <c r="E208" s="424" t="s">
        <v>6927</v>
      </c>
      <c r="F208" s="176" t="s">
        <v>6928</v>
      </c>
      <c r="G208" s="176" t="s">
        <v>6433</v>
      </c>
      <c r="H208" s="176" t="s">
        <v>7150</v>
      </c>
      <c r="I208" s="176" t="s">
        <v>4245</v>
      </c>
      <c r="J208" s="176" t="s">
        <v>4907</v>
      </c>
      <c r="K208" s="413" t="s">
        <v>4652</v>
      </c>
    </row>
    <row r="209" spans="1:11" ht="15.75">
      <c r="A209" s="415" t="s">
        <v>6965</v>
      </c>
      <c r="B209" s="416">
        <v>66006193</v>
      </c>
      <c r="C209" s="416">
        <v>800</v>
      </c>
      <c r="D209" s="416">
        <f t="shared" ref="D209:D228" si="46">B209*C209/$K$209</f>
        <v>4.4004128666666666</v>
      </c>
      <c r="E209" s="415">
        <v>700</v>
      </c>
      <c r="F209" s="415">
        <f>B209*E209/$K$209</f>
        <v>3.8503612583333333</v>
      </c>
      <c r="G209" s="415">
        <v>650</v>
      </c>
      <c r="H209" s="415">
        <f>B209*G209/$K$209</f>
        <v>3.5753354541666669</v>
      </c>
      <c r="I209" s="415">
        <v>2386</v>
      </c>
      <c r="J209" s="415">
        <f>B209*I209/$K$209</f>
        <v>13.124231374833334</v>
      </c>
      <c r="K209" s="416">
        <v>12000000000</v>
      </c>
    </row>
    <row r="210" spans="1:11" ht="15.75">
      <c r="A210" s="417" t="s">
        <v>5787</v>
      </c>
      <c r="B210" s="416">
        <v>1285274355</v>
      </c>
      <c r="C210" s="418">
        <v>450</v>
      </c>
      <c r="D210" s="416">
        <f t="shared" si="46"/>
        <v>48.197788312500002</v>
      </c>
      <c r="E210" s="421">
        <v>308</v>
      </c>
      <c r="F210" s="415">
        <f t="shared" ref="F210:F229" si="47">B210*E210/$K$209</f>
        <v>32.988708445</v>
      </c>
      <c r="G210" s="417">
        <v>213</v>
      </c>
      <c r="H210" s="415">
        <f t="shared" ref="H210:H229" si="48">B210*G210/$K$209</f>
        <v>22.813619801249999</v>
      </c>
      <c r="I210" s="417">
        <v>2810</v>
      </c>
      <c r="J210" s="415">
        <f t="shared" ref="J210:J228" si="49">B210*I210/$K$209</f>
        <v>300.9684114625</v>
      </c>
      <c r="K210" s="431"/>
    </row>
    <row r="211" spans="1:11" ht="15.75">
      <c r="A211" s="415" t="s">
        <v>6959</v>
      </c>
      <c r="B211" s="416">
        <v>995049277</v>
      </c>
      <c r="C211" s="416">
        <v>260</v>
      </c>
      <c r="D211" s="416">
        <f t="shared" si="46"/>
        <v>21.559401001666668</v>
      </c>
      <c r="E211" s="423">
        <v>120</v>
      </c>
      <c r="F211" s="415">
        <f t="shared" si="47"/>
        <v>9.9504927700000003</v>
      </c>
      <c r="G211" s="415">
        <v>30</v>
      </c>
      <c r="H211" s="415">
        <f t="shared" si="48"/>
        <v>2.4876231925000001</v>
      </c>
      <c r="I211" s="415">
        <v>1107</v>
      </c>
      <c r="J211" s="415">
        <f t="shared" si="49"/>
        <v>91.793295803250004</v>
      </c>
      <c r="K211" s="431"/>
    </row>
    <row r="212" spans="1:11" ht="15.75">
      <c r="A212" s="417" t="s">
        <v>6960</v>
      </c>
      <c r="B212" s="418">
        <v>676410539</v>
      </c>
      <c r="C212" s="418">
        <v>300</v>
      </c>
      <c r="D212" s="416">
        <f t="shared" si="46"/>
        <v>16.910263475000001</v>
      </c>
      <c r="E212" s="421">
        <v>257</v>
      </c>
      <c r="F212" s="415">
        <f t="shared" si="47"/>
        <v>14.486459043583332</v>
      </c>
      <c r="G212" s="417">
        <v>130</v>
      </c>
      <c r="H212" s="415">
        <f t="shared" si="48"/>
        <v>7.3277808391666666</v>
      </c>
      <c r="I212" s="417">
        <v>1264</v>
      </c>
      <c r="J212" s="415">
        <f t="shared" si="49"/>
        <v>71.24857677466666</v>
      </c>
      <c r="K212" s="431"/>
    </row>
    <row r="213" spans="1:11" ht="15.75">
      <c r="A213" s="415" t="s">
        <v>6961</v>
      </c>
      <c r="B213" s="416">
        <v>213196988</v>
      </c>
      <c r="C213" s="416">
        <v>200</v>
      </c>
      <c r="D213" s="416">
        <f t="shared" si="46"/>
        <v>3.5532831333333332</v>
      </c>
      <c r="E213" s="423">
        <v>167</v>
      </c>
      <c r="F213" s="415">
        <f t="shared" si="47"/>
        <v>2.9669914163333333</v>
      </c>
      <c r="G213" s="415">
        <v>85</v>
      </c>
      <c r="H213" s="415">
        <f t="shared" si="48"/>
        <v>1.5101453316666666</v>
      </c>
      <c r="I213" s="415">
        <v>1650</v>
      </c>
      <c r="J213" s="415">
        <f t="shared" si="49"/>
        <v>29.31458585</v>
      </c>
      <c r="K213" s="431"/>
    </row>
    <row r="214" spans="1:11" ht="15.75">
      <c r="A214" s="417" t="s">
        <v>4216</v>
      </c>
      <c r="B214" s="418">
        <v>113533718</v>
      </c>
      <c r="C214" s="418">
        <v>300</v>
      </c>
      <c r="D214" s="416">
        <f t="shared" si="46"/>
        <v>2.8383429499999999</v>
      </c>
      <c r="E214" s="421">
        <v>230</v>
      </c>
      <c r="F214" s="415">
        <f t="shared" si="47"/>
        <v>2.1760629283333333</v>
      </c>
      <c r="G214" s="417">
        <v>200</v>
      </c>
      <c r="H214" s="415">
        <f t="shared" si="48"/>
        <v>1.8922286333333334</v>
      </c>
      <c r="I214" s="417">
        <v>1530</v>
      </c>
      <c r="J214" s="415">
        <f t="shared" si="49"/>
        <v>14.475549044999999</v>
      </c>
      <c r="K214" s="431"/>
    </row>
    <row r="215" spans="1:11" ht="15.75">
      <c r="A215" s="415" t="s">
        <v>6465</v>
      </c>
      <c r="B215" s="416">
        <v>1385388043</v>
      </c>
      <c r="C215" s="416">
        <v>350</v>
      </c>
      <c r="D215" s="416">
        <f t="shared" si="46"/>
        <v>40.407151254166664</v>
      </c>
      <c r="E215" s="423">
        <v>190</v>
      </c>
      <c r="F215" s="415">
        <f t="shared" si="47"/>
        <v>21.935310680833332</v>
      </c>
      <c r="G215" s="415">
        <v>130</v>
      </c>
      <c r="H215" s="415">
        <f t="shared" si="48"/>
        <v>15.008370465833334</v>
      </c>
      <c r="I215" s="415">
        <v>2200</v>
      </c>
      <c r="J215" s="415">
        <f t="shared" si="49"/>
        <v>253.98780788333335</v>
      </c>
      <c r="K215" s="431"/>
    </row>
    <row r="216" spans="1:11" ht="15.75">
      <c r="A216" s="417" t="s">
        <v>4509</v>
      </c>
      <c r="B216" s="418">
        <v>1246451029</v>
      </c>
      <c r="C216" s="418">
        <v>260</v>
      </c>
      <c r="D216" s="416">
        <f t="shared" si="46"/>
        <v>27.006438961666667</v>
      </c>
      <c r="E216" s="421">
        <v>130</v>
      </c>
      <c r="F216" s="415">
        <f t="shared" si="47"/>
        <v>13.503219480833334</v>
      </c>
      <c r="G216" s="417">
        <v>28</v>
      </c>
      <c r="H216" s="415">
        <f t="shared" si="48"/>
        <v>2.9083857343333333</v>
      </c>
      <c r="I216" s="417">
        <v>1315</v>
      </c>
      <c r="J216" s="415">
        <f t="shared" si="49"/>
        <v>136.59025859458333</v>
      </c>
      <c r="K216" s="431"/>
    </row>
    <row r="217" spans="1:11" ht="15.75">
      <c r="A217" s="415" t="s">
        <v>5794</v>
      </c>
      <c r="B217" s="416">
        <v>111005114</v>
      </c>
      <c r="C217" s="416">
        <v>250</v>
      </c>
      <c r="D217" s="416">
        <f t="shared" si="46"/>
        <v>2.3126065416666668</v>
      </c>
      <c r="E217" s="423">
        <v>223</v>
      </c>
      <c r="F217" s="415">
        <f t="shared" si="47"/>
        <v>2.0628450351666667</v>
      </c>
      <c r="G217" s="415">
        <v>80</v>
      </c>
      <c r="H217" s="415">
        <f t="shared" si="48"/>
        <v>0.74003409333333336</v>
      </c>
      <c r="I217" s="415">
        <v>1600</v>
      </c>
      <c r="J217" s="415">
        <f t="shared" si="49"/>
        <v>14.800681866666666</v>
      </c>
      <c r="K217" s="431"/>
    </row>
    <row r="218" spans="1:11" ht="15.75">
      <c r="A218" s="417" t="s">
        <v>4476</v>
      </c>
      <c r="B218" s="418">
        <v>7385687</v>
      </c>
      <c r="C218" s="418">
        <v>6000</v>
      </c>
      <c r="D218" s="416">
        <f t="shared" si="46"/>
        <v>3.6928434999999999</v>
      </c>
      <c r="E218" s="421">
        <v>5800</v>
      </c>
      <c r="F218" s="415">
        <f t="shared" si="47"/>
        <v>3.5697487166666666</v>
      </c>
      <c r="G218" s="417">
        <v>5800</v>
      </c>
      <c r="H218" s="415">
        <f t="shared" si="48"/>
        <v>3.5697487166666666</v>
      </c>
      <c r="I218" s="417">
        <v>40260</v>
      </c>
      <c r="J218" s="415">
        <f t="shared" si="49"/>
        <v>24.778979884999998</v>
      </c>
      <c r="K218" s="431"/>
    </row>
    <row r="219" spans="1:11" ht="15.75">
      <c r="A219" s="415" t="s">
        <v>6962</v>
      </c>
      <c r="B219" s="416">
        <v>471875451</v>
      </c>
      <c r="C219" s="416">
        <v>0</v>
      </c>
      <c r="D219" s="416">
        <f t="shared" si="46"/>
        <v>0</v>
      </c>
      <c r="E219" s="423">
        <v>0</v>
      </c>
      <c r="F219" s="415">
        <f t="shared" si="47"/>
        <v>0</v>
      </c>
      <c r="G219" s="415">
        <v>0</v>
      </c>
      <c r="H219" s="415">
        <f t="shared" si="48"/>
        <v>0</v>
      </c>
      <c r="I219" s="415">
        <v>2100</v>
      </c>
      <c r="J219" s="415">
        <f t="shared" si="49"/>
        <v>82.578203924999997</v>
      </c>
      <c r="K219" s="431"/>
    </row>
    <row r="220" spans="1:11" ht="18.75">
      <c r="A220" s="417" t="s">
        <v>4829</v>
      </c>
      <c r="B220" s="418">
        <v>84202942</v>
      </c>
      <c r="C220" s="418">
        <v>3000</v>
      </c>
      <c r="D220" s="416">
        <f t="shared" si="46"/>
        <v>21.050735499999998</v>
      </c>
      <c r="E220" s="421">
        <v>2100</v>
      </c>
      <c r="F220" s="415">
        <f t="shared" si="47"/>
        <v>14.735514849999999</v>
      </c>
      <c r="G220" s="434">
        <v>1350</v>
      </c>
      <c r="H220" s="415">
        <f t="shared" si="48"/>
        <v>9.4728309750000008</v>
      </c>
      <c r="I220" s="417">
        <v>17768</v>
      </c>
      <c r="J220" s="415">
        <f t="shared" si="49"/>
        <v>124.67648945466667</v>
      </c>
      <c r="K220" s="431"/>
    </row>
    <row r="221" spans="1:11" ht="15.75">
      <c r="A221" s="415" t="s">
        <v>4358</v>
      </c>
      <c r="B221" s="416">
        <v>6727696</v>
      </c>
      <c r="C221" s="416">
        <v>4500</v>
      </c>
      <c r="D221" s="416">
        <f t="shared" si="46"/>
        <v>2.5228860000000002</v>
      </c>
      <c r="E221" s="423">
        <v>2400</v>
      </c>
      <c r="F221" s="415">
        <f t="shared" si="47"/>
        <v>1.3455391999999999</v>
      </c>
      <c r="G221" s="415">
        <v>2300</v>
      </c>
      <c r="H221" s="415">
        <f t="shared" si="48"/>
        <v>1.2894750666666666</v>
      </c>
      <c r="I221" s="415">
        <v>29290</v>
      </c>
      <c r="J221" s="415">
        <f t="shared" si="49"/>
        <v>16.421184653333334</v>
      </c>
      <c r="K221" s="431"/>
    </row>
    <row r="222" spans="1:11" ht="15.75">
      <c r="A222" s="417" t="s">
        <v>5845</v>
      </c>
      <c r="B222" s="418">
        <v>288259927</v>
      </c>
      <c r="C222" s="418">
        <v>550</v>
      </c>
      <c r="D222" s="416">
        <f t="shared" si="46"/>
        <v>13.211913320833334</v>
      </c>
      <c r="E222" s="421">
        <v>430</v>
      </c>
      <c r="F222" s="415">
        <f t="shared" si="47"/>
        <v>10.329314050833334</v>
      </c>
      <c r="G222" s="417">
        <v>380</v>
      </c>
      <c r="H222" s="415">
        <f t="shared" si="48"/>
        <v>9.1282310216666662</v>
      </c>
      <c r="I222" s="417">
        <v>3341</v>
      </c>
      <c r="J222" s="415">
        <f t="shared" si="49"/>
        <v>80.256368008916667</v>
      </c>
      <c r="K222" s="431" t="s">
        <v>25</v>
      </c>
    </row>
    <row r="223" spans="1:11" ht="15.75">
      <c r="A223" s="415" t="s">
        <v>5793</v>
      </c>
      <c r="B223" s="416">
        <v>103608037</v>
      </c>
      <c r="C223" s="416">
        <v>160</v>
      </c>
      <c r="D223" s="416">
        <f t="shared" si="46"/>
        <v>1.3814404933333333</v>
      </c>
      <c r="E223" s="415">
        <v>134</v>
      </c>
      <c r="F223" s="415">
        <f t="shared" si="47"/>
        <v>1.1569564131666668</v>
      </c>
      <c r="G223" s="415">
        <v>60</v>
      </c>
      <c r="H223" s="415">
        <f t="shared" si="48"/>
        <v>0.51804018500000004</v>
      </c>
      <c r="I223" s="415">
        <v>1235</v>
      </c>
      <c r="J223" s="415">
        <f t="shared" si="49"/>
        <v>10.662993807916667</v>
      </c>
      <c r="K223" s="431" t="s">
        <v>25</v>
      </c>
    </row>
    <row r="224" spans="1:11" ht="15.75">
      <c r="A224" s="417" t="s">
        <v>5761</v>
      </c>
      <c r="B224" s="418">
        <v>38247354</v>
      </c>
      <c r="C224" s="418">
        <v>1000</v>
      </c>
      <c r="D224" s="416">
        <f t="shared" si="46"/>
        <v>3.1872794999999998</v>
      </c>
      <c r="E224" s="417">
        <v>727</v>
      </c>
      <c r="F224" s="415">
        <f t="shared" si="47"/>
        <v>2.3171521964999999</v>
      </c>
      <c r="G224" s="417">
        <v>650</v>
      </c>
      <c r="H224" s="415">
        <f t="shared" si="48"/>
        <v>2.0717316750000001</v>
      </c>
      <c r="I224" s="417">
        <v>4805</v>
      </c>
      <c r="J224" s="415">
        <f t="shared" si="49"/>
        <v>15.3148779975</v>
      </c>
      <c r="K224" s="431"/>
    </row>
    <row r="225" spans="1:12" ht="15.75">
      <c r="A225" s="415" t="s">
        <v>6963</v>
      </c>
      <c r="B225" s="416">
        <v>79825258</v>
      </c>
      <c r="C225" s="416">
        <v>250</v>
      </c>
      <c r="D225" s="416">
        <f t="shared" si="46"/>
        <v>1.6630262083333334</v>
      </c>
      <c r="E225" s="415">
        <v>197</v>
      </c>
      <c r="F225" s="415">
        <f t="shared" si="47"/>
        <v>1.3104646521666667</v>
      </c>
      <c r="G225" s="415">
        <v>180</v>
      </c>
      <c r="H225" s="415">
        <f t="shared" si="48"/>
        <v>1.1973788700000001</v>
      </c>
      <c r="I225" s="415">
        <v>2370</v>
      </c>
      <c r="J225" s="415">
        <f t="shared" si="49"/>
        <v>15.765488455</v>
      </c>
      <c r="K225" s="431"/>
    </row>
    <row r="226" spans="1:12" ht="15.75">
      <c r="A226" s="417" t="s">
        <v>4354</v>
      </c>
      <c r="B226" s="418">
        <v>6427897</v>
      </c>
      <c r="C226" s="418">
        <v>3000</v>
      </c>
      <c r="D226" s="416">
        <f t="shared" si="46"/>
        <v>1.6069742499999999</v>
      </c>
      <c r="E226" s="417">
        <v>2037</v>
      </c>
      <c r="F226" s="415">
        <f t="shared" si="47"/>
        <v>1.09113551575</v>
      </c>
      <c r="G226" s="417">
        <v>2000</v>
      </c>
      <c r="H226" s="415">
        <f t="shared" si="48"/>
        <v>1.0713161666666666</v>
      </c>
      <c r="I226" s="417">
        <v>18724</v>
      </c>
      <c r="J226" s="415">
        <f t="shared" si="49"/>
        <v>10.029661952333333</v>
      </c>
      <c r="K226" s="431"/>
    </row>
    <row r="227" spans="1:12" ht="15.75">
      <c r="A227" s="415" t="s">
        <v>5788</v>
      </c>
      <c r="B227" s="416">
        <v>131231371</v>
      </c>
      <c r="C227" s="416">
        <v>300</v>
      </c>
      <c r="D227" s="416">
        <f t="shared" si="46"/>
        <v>3.2807842749999998</v>
      </c>
      <c r="E227" s="415">
        <v>173</v>
      </c>
      <c r="F227" s="415">
        <f t="shared" si="47"/>
        <v>1.8919189319166667</v>
      </c>
      <c r="G227" s="415">
        <v>170</v>
      </c>
      <c r="H227" s="415">
        <f t="shared" si="48"/>
        <v>1.8591110891666667</v>
      </c>
      <c r="I227" s="415">
        <v>4454</v>
      </c>
      <c r="J227" s="415">
        <f t="shared" si="49"/>
        <v>48.70871053616667</v>
      </c>
      <c r="K227" s="431"/>
    </row>
    <row r="228" spans="1:12" ht="15.75">
      <c r="A228" s="417" t="s">
        <v>6964</v>
      </c>
      <c r="B228" s="418">
        <v>891943775</v>
      </c>
      <c r="C228" s="418">
        <v>0</v>
      </c>
      <c r="D228" s="416">
        <f t="shared" si="46"/>
        <v>0</v>
      </c>
      <c r="E228" s="418">
        <v>0</v>
      </c>
      <c r="F228" s="415">
        <f t="shared" si="47"/>
        <v>0</v>
      </c>
      <c r="G228" s="418">
        <v>0</v>
      </c>
      <c r="H228" s="415">
        <f t="shared" si="48"/>
        <v>0</v>
      </c>
      <c r="I228" s="417">
        <v>1100</v>
      </c>
      <c r="J228" s="415">
        <f t="shared" si="49"/>
        <v>81.761512708333328</v>
      </c>
      <c r="K228" s="431"/>
    </row>
    <row r="229" spans="1:12" ht="15.75">
      <c r="A229" s="417" t="s">
        <v>6933</v>
      </c>
      <c r="B229" s="418">
        <v>1</v>
      </c>
      <c r="C229" s="418">
        <v>500000000000</v>
      </c>
      <c r="D229" s="416">
        <f>B229*C229/$K$209</f>
        <v>41.666666666666664</v>
      </c>
      <c r="E229" s="418">
        <v>500000000000</v>
      </c>
      <c r="F229" s="415">
        <f t="shared" si="47"/>
        <v>41.666666666666664</v>
      </c>
      <c r="G229" s="418">
        <v>300000000000</v>
      </c>
      <c r="H229" s="415">
        <f t="shared" si="48"/>
        <v>25</v>
      </c>
      <c r="I229" s="417">
        <v>3000000000000</v>
      </c>
      <c r="J229" s="415">
        <f>B229*I229/$K$209</f>
        <v>250</v>
      </c>
      <c r="K229" s="431"/>
      <c r="L229" t="s">
        <v>25</v>
      </c>
    </row>
    <row r="230" spans="1:12" ht="15.75">
      <c r="A230" s="419"/>
      <c r="B230" s="412"/>
      <c r="C230" s="412"/>
      <c r="D230" s="412"/>
      <c r="E230" s="419"/>
      <c r="F230" s="419"/>
      <c r="G230" s="419"/>
      <c r="H230" s="419"/>
      <c r="I230" s="419"/>
      <c r="J230" s="419"/>
      <c r="K230" s="431"/>
    </row>
    <row r="231" spans="1:12" ht="21">
      <c r="A231" s="419"/>
      <c r="B231" s="419"/>
      <c r="C231" s="419"/>
      <c r="D231" s="412">
        <f>SUM(D209:D230)</f>
        <v>260.45023821083339</v>
      </c>
      <c r="E231" s="419"/>
      <c r="F231" s="419">
        <f>SUM(F210:F230)</f>
        <v>179.48450099375</v>
      </c>
      <c r="G231" s="419"/>
      <c r="H231" s="419">
        <f>SUM(H210:H230)</f>
        <v>109.86605185724999</v>
      </c>
      <c r="I231" s="420" t="s">
        <v>4433</v>
      </c>
      <c r="J231" s="420">
        <f>SUM(J209:J229)</f>
        <v>1687.2578700389997</v>
      </c>
      <c r="K231" s="431"/>
    </row>
    <row r="232" spans="1:12" ht="21">
      <c r="A232" s="419"/>
      <c r="B232" s="419"/>
      <c r="C232" s="419"/>
      <c r="D232" s="419" t="s">
        <v>6</v>
      </c>
      <c r="E232" s="419"/>
      <c r="F232" s="419" t="s">
        <v>6</v>
      </c>
      <c r="G232" s="419"/>
      <c r="H232" s="419" t="s">
        <v>6</v>
      </c>
      <c r="I232" s="420" t="s">
        <v>5009</v>
      </c>
      <c r="J232" s="420">
        <v>805</v>
      </c>
      <c r="K232" s="431"/>
    </row>
    <row r="233" spans="1:12" ht="21">
      <c r="A233" s="419"/>
      <c r="B233" s="419"/>
      <c r="C233" s="419"/>
      <c r="D233" s="419"/>
      <c r="E233" s="419"/>
      <c r="F233" s="419"/>
      <c r="G233" s="419"/>
      <c r="H233" s="419"/>
      <c r="I233" s="420" t="s">
        <v>5010</v>
      </c>
      <c r="J233" s="420">
        <f>J232/J231</f>
        <v>0.47710549424279347</v>
      </c>
    </row>
    <row r="236" spans="1:12">
      <c r="A236" s="472" t="s">
        <v>4245</v>
      </c>
      <c r="B236" s="472">
        <v>17800</v>
      </c>
      <c r="C236" s="473"/>
      <c r="D236" s="473"/>
      <c r="E236" s="473"/>
      <c r="F236" s="473"/>
      <c r="G236" s="473"/>
      <c r="H236" s="473"/>
      <c r="I236" s="473"/>
      <c r="J236" s="473"/>
    </row>
    <row r="237" spans="1:12">
      <c r="A237" s="472" t="s">
        <v>7095</v>
      </c>
      <c r="B237" s="472">
        <v>4000</v>
      </c>
      <c r="C237" s="473"/>
      <c r="D237" s="473"/>
      <c r="E237" s="473"/>
      <c r="F237" s="473"/>
      <c r="G237" s="473"/>
      <c r="H237" s="473"/>
      <c r="I237" s="473"/>
      <c r="J237" s="473"/>
    </row>
    <row r="238" spans="1:12">
      <c r="A238" s="472" t="s">
        <v>7094</v>
      </c>
      <c r="B238" s="472">
        <v>2134</v>
      </c>
      <c r="C238" s="473"/>
      <c r="D238" s="473"/>
      <c r="E238" s="473"/>
      <c r="F238" s="473"/>
      <c r="G238" s="473"/>
      <c r="H238" s="473"/>
      <c r="I238" s="473"/>
      <c r="J238" s="473"/>
    </row>
    <row r="239" spans="1:12" ht="30">
      <c r="A239" s="474"/>
      <c r="B239" s="472" t="s">
        <v>7089</v>
      </c>
      <c r="C239" s="472" t="s">
        <v>4829</v>
      </c>
      <c r="D239" s="472" t="s">
        <v>5845</v>
      </c>
      <c r="E239" s="474" t="s">
        <v>4216</v>
      </c>
      <c r="F239" s="474" t="s">
        <v>7090</v>
      </c>
      <c r="G239" s="474" t="s">
        <v>7091</v>
      </c>
      <c r="H239" s="477" t="s">
        <v>7092</v>
      </c>
      <c r="I239" s="475" t="s">
        <v>7093</v>
      </c>
      <c r="J239" s="475" t="s">
        <v>7096</v>
      </c>
    </row>
    <row r="240" spans="1:12" ht="15.75">
      <c r="A240" s="472" t="s">
        <v>4829</v>
      </c>
      <c r="B240" s="476">
        <v>6000000000</v>
      </c>
      <c r="C240" s="476">
        <v>0</v>
      </c>
      <c r="D240" s="476">
        <v>0</v>
      </c>
      <c r="E240" s="476">
        <v>0</v>
      </c>
      <c r="F240" s="476"/>
      <c r="G240" s="476"/>
      <c r="H240" s="476"/>
      <c r="I240" s="476"/>
      <c r="J240" s="476"/>
    </row>
    <row r="241" spans="1:10" ht="15.75">
      <c r="A241" s="472" t="s">
        <v>5845</v>
      </c>
      <c r="B241" s="476">
        <v>40500000000</v>
      </c>
      <c r="C241" s="476">
        <v>4127266661</v>
      </c>
      <c r="D241" s="476">
        <v>0</v>
      </c>
      <c r="E241" s="476">
        <v>0</v>
      </c>
      <c r="F241" s="476">
        <f>C241</f>
        <v>4127266661</v>
      </c>
      <c r="G241" s="476">
        <f>F241*$B$236</f>
        <v>73465346565800</v>
      </c>
      <c r="H241" s="476">
        <f>G241/B241</f>
        <v>1813.9591744641975</v>
      </c>
      <c r="I241" s="476">
        <f>F241*$B$238/B241</f>
        <v>217.47128529812346</v>
      </c>
      <c r="J241" s="476">
        <f>F241*$B$237/B241</f>
        <v>407.63127516049383</v>
      </c>
    </row>
    <row r="242" spans="1:10" ht="15.75">
      <c r="A242" s="472" t="s">
        <v>4216</v>
      </c>
      <c r="B242" s="476">
        <v>72000000000</v>
      </c>
      <c r="C242" s="476">
        <v>8000</v>
      </c>
      <c r="D242" s="476">
        <v>27500000000</v>
      </c>
      <c r="E242" s="476">
        <v>0</v>
      </c>
      <c r="F242" s="476">
        <f>C242+(D242/B241)*F241</f>
        <v>2802473016.728395</v>
      </c>
      <c r="G242" s="476">
        <f>F242*$B$236</f>
        <v>49884019697765.43</v>
      </c>
      <c r="H242" s="476">
        <f t="shared" ref="H242:H244" si="50">G242/B242</f>
        <v>692.83360691340874</v>
      </c>
      <c r="I242" s="476">
        <f>F242*$B$238/B242</f>
        <v>83.06218635692214</v>
      </c>
      <c r="J242" s="476">
        <f>F242*$B$237/B242</f>
        <v>155.69294537379972</v>
      </c>
    </row>
    <row r="243" spans="1:10" ht="15.75">
      <c r="A243" s="472" t="s">
        <v>4652</v>
      </c>
      <c r="B243" s="476">
        <v>12000000000</v>
      </c>
      <c r="C243" s="476">
        <v>84902942</v>
      </c>
      <c r="D243" s="476">
        <v>296603601</v>
      </c>
      <c r="E243" s="476">
        <v>113533718</v>
      </c>
      <c r="F243" s="476">
        <f>C243+(D243/B241)*F241+(E243/B242)*F242</f>
        <v>119548267.76187068</v>
      </c>
      <c r="G243" s="476">
        <f>F243*$B$236</f>
        <v>2127959166161.2981</v>
      </c>
      <c r="H243" s="476">
        <f t="shared" si="50"/>
        <v>177.3299305134415</v>
      </c>
      <c r="I243" s="476">
        <f>F243*$B$238/B243</f>
        <v>21.259666950319335</v>
      </c>
      <c r="J243" s="476">
        <f>F243*$B$237/B243</f>
        <v>39.849422587290228</v>
      </c>
    </row>
    <row r="244" spans="1:10" ht="15.75">
      <c r="A244" s="472" t="s">
        <v>5261</v>
      </c>
      <c r="B244" s="476">
        <v>30000000000</v>
      </c>
      <c r="C244" s="476">
        <v>0</v>
      </c>
      <c r="D244" s="476">
        <v>0</v>
      </c>
      <c r="E244" s="476">
        <v>3356161798</v>
      </c>
      <c r="F244" s="476">
        <f>(E244/B242)*F242</f>
        <v>130632678.87041186</v>
      </c>
      <c r="G244" s="476">
        <f>F244*$B$236</f>
        <v>2325261683893.3311</v>
      </c>
      <c r="H244" s="476">
        <f t="shared" si="50"/>
        <v>77.508722796444374</v>
      </c>
      <c r="I244" s="476">
        <f>F244*$B$238/B244</f>
        <v>9.2923378903152969</v>
      </c>
      <c r="J244" s="476">
        <f>F244*$B$237/B244</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6"/>
  <sheetViews>
    <sheetView tabSelected="1" topLeftCell="N201" zoomScale="85" zoomScaleNormal="85" workbookViewId="0">
      <selection activeCell="T216" sqref="T216"/>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1239</v>
      </c>
      <c r="U20" s="166" t="s">
        <v>4280</v>
      </c>
      <c r="V20" s="166">
        <v>192.1</v>
      </c>
      <c r="W20" s="166">
        <f t="shared" ref="W20:W51" si="6">V20*(1+$S$113+$R$15*T20/36500)</f>
        <v>377.60439123287676</v>
      </c>
      <c r="X20" s="32">
        <f t="shared" ref="X20:X26" si="7">W20*(1+$X$19/100)</f>
        <v>385.15647905753428</v>
      </c>
      <c r="Y20" s="32">
        <f t="shared" ref="Y20:Y26" si="8">W20*(1+$Y$19/100)</f>
        <v>392.70856688219186</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467937348</v>
      </c>
      <c r="O21" s="97">
        <v>353427</v>
      </c>
      <c r="P21" s="93">
        <f>P48</f>
        <v>1324</v>
      </c>
      <c r="R21" s="167">
        <v>1353959</v>
      </c>
      <c r="S21" s="166" t="s">
        <v>4388</v>
      </c>
      <c r="T21" s="194">
        <f>T20-59</f>
        <v>1180</v>
      </c>
      <c r="U21" s="19" t="s">
        <v>4422</v>
      </c>
      <c r="V21" s="166">
        <v>192.2</v>
      </c>
      <c r="W21" s="166">
        <f t="shared" si="6"/>
        <v>369.10193315068494</v>
      </c>
      <c r="X21" s="32">
        <f t="shared" si="7"/>
        <v>376.48397181369864</v>
      </c>
      <c r="Y21" s="32">
        <f t="shared" si="8"/>
        <v>383.86601047671235</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10804800</v>
      </c>
      <c r="O22" s="97">
        <v>27012</v>
      </c>
      <c r="P22" s="93">
        <f>P49</f>
        <v>400</v>
      </c>
      <c r="R22" s="167">
        <v>1614398</v>
      </c>
      <c r="S22" s="166" t="s">
        <v>4394</v>
      </c>
      <c r="T22" s="166">
        <f>T21-3</f>
        <v>1177</v>
      </c>
      <c r="U22" s="19" t="s">
        <v>5590</v>
      </c>
      <c r="V22" s="166">
        <v>184.6</v>
      </c>
      <c r="W22" s="166">
        <f t="shared" si="6"/>
        <v>354.08201863013699</v>
      </c>
      <c r="X22" s="32">
        <f t="shared" si="7"/>
        <v>361.16365900273973</v>
      </c>
      <c r="Y22" s="32">
        <f t="shared" si="8"/>
        <v>368.24529937534248</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1155</v>
      </c>
      <c r="U23" s="166" t="s">
        <v>4460</v>
      </c>
      <c r="V23" s="166">
        <v>166.2</v>
      </c>
      <c r="W23" s="166">
        <f t="shared" si="6"/>
        <v>315.98399342465751</v>
      </c>
      <c r="X23" s="32">
        <f t="shared" si="7"/>
        <v>322.30367329315067</v>
      </c>
      <c r="Y23" s="32">
        <f t="shared" si="8"/>
        <v>328.62335316164382</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49767955.129178047</v>
      </c>
      <c r="G24" s="93">
        <f t="shared" si="0"/>
        <v>230538390.25276059</v>
      </c>
      <c r="H24" s="11"/>
      <c r="I24" s="94"/>
      <c r="J24" s="94"/>
      <c r="K24" s="205"/>
      <c r="L24" s="115"/>
      <c r="M24" s="205"/>
      <c r="N24" s="111"/>
      <c r="O24" s="112"/>
      <c r="P24" s="468"/>
      <c r="R24" s="167">
        <v>220803</v>
      </c>
      <c r="S24" s="166" t="s">
        <v>4204</v>
      </c>
      <c r="T24" s="193">
        <f>T23-1</f>
        <v>1154</v>
      </c>
      <c r="U24" s="166" t="s">
        <v>4466</v>
      </c>
      <c r="V24" s="166">
        <v>166</v>
      </c>
      <c r="W24" s="166">
        <f t="shared" si="6"/>
        <v>315.47640547945207</v>
      </c>
      <c r="X24" s="32">
        <f t="shared" si="7"/>
        <v>321.78593358904112</v>
      </c>
      <c r="Y24" s="32">
        <f t="shared" si="8"/>
        <v>328.09546169863017</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1152</v>
      </c>
      <c r="U25" s="166" t="s">
        <v>4473</v>
      </c>
      <c r="V25" s="166">
        <v>160.19999999999999</v>
      </c>
      <c r="W25" s="166">
        <f t="shared" si="6"/>
        <v>304.20794958904111</v>
      </c>
      <c r="X25" s="32">
        <f t="shared" si="7"/>
        <v>310.29210858082195</v>
      </c>
      <c r="Y25" s="32">
        <f t="shared" si="8"/>
        <v>316.37626757260279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1124</v>
      </c>
      <c r="U26" s="166" t="s">
        <v>4547</v>
      </c>
      <c r="V26" s="166">
        <v>172.2</v>
      </c>
      <c r="W26" s="166">
        <f t="shared" si="6"/>
        <v>323.29630027397258</v>
      </c>
      <c r="X26" s="32">
        <f t="shared" si="7"/>
        <v>329.76222627945202</v>
      </c>
      <c r="Y26" s="32">
        <f t="shared" si="8"/>
        <v>336.22815228493147</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1091</v>
      </c>
      <c r="U27" s="205" t="s">
        <v>4641</v>
      </c>
      <c r="V27" s="205">
        <v>168.8</v>
      </c>
      <c r="W27" s="205">
        <f t="shared" si="6"/>
        <v>312.63979835616442</v>
      </c>
      <c r="X27" s="32">
        <f t="shared" ref="X27:X30" si="13">W27*(1+$X$19/100)</f>
        <v>318.89259432328771</v>
      </c>
      <c r="Y27" s="32">
        <f t="shared" ref="Y27:Y30" si="14">W27*(1+$Y$19/100)</f>
        <v>325.145390290411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3288136788</v>
      </c>
      <c r="O28" s="97">
        <v>2483487</v>
      </c>
      <c r="P28" s="183">
        <f>P48</f>
        <v>1324</v>
      </c>
      <c r="Q28" s="67">
        <f>N28*100/$S$201</f>
        <v>32.196574951088294</v>
      </c>
      <c r="R28" s="167">
        <v>1204691</v>
      </c>
      <c r="S28" s="205" t="s">
        <v>4843</v>
      </c>
      <c r="T28" s="193">
        <f>T27-76</f>
        <v>1015</v>
      </c>
      <c r="U28" s="205" t="s">
        <v>4844</v>
      </c>
      <c r="V28" s="205">
        <v>218.5</v>
      </c>
      <c r="W28" s="205">
        <f t="shared" si="6"/>
        <v>391.95188493150687</v>
      </c>
      <c r="X28" s="32">
        <f t="shared" si="13"/>
        <v>399.790922630137</v>
      </c>
      <c r="Y28" s="32">
        <f t="shared" si="14"/>
        <v>407.62996032876714</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275876800</v>
      </c>
      <c r="O29" s="97">
        <v>689692</v>
      </c>
      <c r="P29" s="183">
        <f>P49</f>
        <v>400</v>
      </c>
      <c r="Q29" s="67">
        <f>N29*100/$S$201</f>
        <v>2.7013134310233555</v>
      </c>
      <c r="R29" s="167">
        <v>15011877</v>
      </c>
      <c r="S29" s="205" t="s">
        <v>4846</v>
      </c>
      <c r="T29" s="193">
        <f>T28-3</f>
        <v>1012</v>
      </c>
      <c r="U29" s="205" t="s">
        <v>4850</v>
      </c>
      <c r="V29" s="205">
        <v>197.1</v>
      </c>
      <c r="W29" s="205">
        <f t="shared" si="6"/>
        <v>353.11032</v>
      </c>
      <c r="X29" s="32">
        <f t="shared" si="13"/>
        <v>360.17252639999998</v>
      </c>
      <c r="Y29" s="32">
        <f t="shared" si="14"/>
        <v>367.23473280000002</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1007</v>
      </c>
      <c r="U30" s="205" t="s">
        <v>5556</v>
      </c>
      <c r="V30" s="205">
        <v>194.4</v>
      </c>
      <c r="W30" s="205">
        <f t="shared" si="6"/>
        <v>347.52754849315073</v>
      </c>
      <c r="X30" s="32">
        <f t="shared" si="13"/>
        <v>354.47809946301373</v>
      </c>
      <c r="Y30" s="32">
        <f t="shared" si="14"/>
        <v>361.42865043287679</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542</v>
      </c>
      <c r="U31" s="205" t="s">
        <v>5563</v>
      </c>
      <c r="V31" s="205">
        <v>1843</v>
      </c>
      <c r="W31" s="205">
        <f t="shared" si="6"/>
        <v>2637.2976547945209</v>
      </c>
      <c r="X31" s="32">
        <f t="shared" ref="X31:X34" si="15">W31*(1+$X$19/100)</f>
        <v>2690.0436078904113</v>
      </c>
      <c r="Y31" s="32">
        <f t="shared" ref="Y31:Y34" si="16">W31*(1+$Y$19/100)</f>
        <v>2742.7895609863017</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539</v>
      </c>
      <c r="U32" s="205" t="s">
        <v>5565</v>
      </c>
      <c r="V32" s="205">
        <v>1751</v>
      </c>
      <c r="W32" s="205">
        <f t="shared" si="6"/>
        <v>2501.6177205479457</v>
      </c>
      <c r="X32" s="32">
        <f t="shared" si="15"/>
        <v>2551.6500749589045</v>
      </c>
      <c r="Y32" s="32">
        <f t="shared" si="16"/>
        <v>2601.6824293698637</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538</v>
      </c>
      <c r="U33" s="205" t="s">
        <v>5567</v>
      </c>
      <c r="V33" s="205">
        <v>1730</v>
      </c>
      <c r="W33" s="205">
        <f t="shared" si="6"/>
        <v>2470.2883287671234</v>
      </c>
      <c r="X33" s="32">
        <f t="shared" si="15"/>
        <v>2519.694095342466</v>
      </c>
      <c r="Y33" s="32">
        <f t="shared" si="16"/>
        <v>2569.0998619178085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-X179</f>
        <v>62807120.129178047</v>
      </c>
      <c r="M34" s="187" t="s">
        <v>4415</v>
      </c>
      <c r="N34" s="111">
        <v>169</v>
      </c>
      <c r="O34" s="252"/>
      <c r="P34" s="97" t="s">
        <v>25</v>
      </c>
      <c r="Q34" s="67"/>
      <c r="R34" s="167">
        <v>47880291</v>
      </c>
      <c r="S34" s="205" t="s">
        <v>5573</v>
      </c>
      <c r="T34" s="193">
        <f>T33-8</f>
        <v>530</v>
      </c>
      <c r="U34" s="205" t="s">
        <v>5577</v>
      </c>
      <c r="V34" s="205">
        <v>1737.1</v>
      </c>
      <c r="W34" s="205">
        <f t="shared" si="6"/>
        <v>2469.7659473972603</v>
      </c>
      <c r="X34" s="32">
        <f t="shared" si="15"/>
        <v>2519.1612663452056</v>
      </c>
      <c r="Y34" s="32">
        <f t="shared" si="16"/>
        <v>2568.5565852931509</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410406900</v>
      </c>
      <c r="O35" s="67">
        <v>309975</v>
      </c>
      <c r="P35" s="97">
        <f>P48</f>
        <v>1324</v>
      </c>
      <c r="Q35" s="67">
        <f>N35*100/$S$201</f>
        <v>4.018596964857716</v>
      </c>
      <c r="R35" s="167">
        <v>48859908</v>
      </c>
      <c r="S35" s="205" t="s">
        <v>5576</v>
      </c>
      <c r="T35" s="193">
        <f>T34-1</f>
        <v>529</v>
      </c>
      <c r="U35" s="205" t="s">
        <v>5580</v>
      </c>
      <c r="V35" s="205">
        <v>1730.1</v>
      </c>
      <c r="W35" s="205">
        <f t="shared" si="6"/>
        <v>2458.4863200000004</v>
      </c>
      <c r="X35" s="32">
        <f t="shared" ref="X35:X36" si="17">W35*(1+$X$19/100)</f>
        <v>2507.6560464000004</v>
      </c>
      <c r="Y35" s="32">
        <f t="shared" ref="Y35:Y36" si="18">W35*(1+$Y$19/100)</f>
        <v>2556.8257728000003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33118800</v>
      </c>
      <c r="O36" s="67">
        <v>82797</v>
      </c>
      <c r="P36" s="97">
        <f>P49</f>
        <v>400</v>
      </c>
      <c r="Q36" s="67">
        <f>N36*100/$S$201</f>
        <v>0.32429062269598713</v>
      </c>
      <c r="R36" s="167">
        <v>38191823</v>
      </c>
      <c r="S36" s="205" t="s">
        <v>5578</v>
      </c>
      <c r="T36" s="193">
        <f>T35-1</f>
        <v>528</v>
      </c>
      <c r="U36" s="205" t="s">
        <v>5579</v>
      </c>
      <c r="V36" s="205">
        <v>1646</v>
      </c>
      <c r="W36" s="205">
        <f t="shared" si="6"/>
        <v>2337.7168438356166</v>
      </c>
      <c r="X36" s="32">
        <f t="shared" si="17"/>
        <v>2384.471180712329</v>
      </c>
      <c r="Y36" s="32">
        <f t="shared" si="18"/>
        <v>2431.2255175890414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525</v>
      </c>
      <c r="U37" s="205" t="s">
        <v>5585</v>
      </c>
      <c r="V37" s="205">
        <v>1674.7</v>
      </c>
      <c r="W37" s="205">
        <f t="shared" si="6"/>
        <v>2374.6236591780826</v>
      </c>
      <c r="X37" s="32">
        <f t="shared" ref="X37:X40" si="19">W37*(1+$X$19/100)</f>
        <v>2422.1161323616443</v>
      </c>
      <c r="Y37" s="32">
        <f t="shared" ref="Y37:Y40" si="20">W37*(1+$Y$19/100)</f>
        <v>2469.608605545206</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523</v>
      </c>
      <c r="U38" s="205" t="s">
        <v>5584</v>
      </c>
      <c r="V38" s="205">
        <v>1663</v>
      </c>
      <c r="W38" s="205">
        <f t="shared" si="6"/>
        <v>2355.4823123287674</v>
      </c>
      <c r="X38" s="32">
        <f t="shared" si="19"/>
        <v>2402.5919585753427</v>
      </c>
      <c r="Y38" s="32">
        <f t="shared" si="20"/>
        <v>2449.7016048219184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522</v>
      </c>
      <c r="U39" s="205" t="s">
        <v>5591</v>
      </c>
      <c r="V39" s="205">
        <v>1580</v>
      </c>
      <c r="W39" s="205">
        <f t="shared" si="6"/>
        <v>2236.7086027397263</v>
      </c>
      <c r="X39" s="32">
        <f t="shared" si="19"/>
        <v>2281.442774794521</v>
      </c>
      <c r="Y39" s="32">
        <f t="shared" si="20"/>
        <v>2326.1769468493153</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517</v>
      </c>
      <c r="U40" s="205" t="s">
        <v>5595</v>
      </c>
      <c r="V40" s="205">
        <v>1560.1</v>
      </c>
      <c r="W40" s="205">
        <f t="shared" si="6"/>
        <v>2202.5534542465753</v>
      </c>
      <c r="X40" s="32">
        <f t="shared" si="19"/>
        <v>2246.6045233315067</v>
      </c>
      <c r="Y40" s="32">
        <f t="shared" si="20"/>
        <v>2290.6555924164381</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509</v>
      </c>
      <c r="U41" s="205" t="s">
        <v>5601</v>
      </c>
      <c r="V41" s="205">
        <v>1667</v>
      </c>
      <c r="W41" s="205">
        <f t="shared" si="6"/>
        <v>2343.2448109589045</v>
      </c>
      <c r="X41" s="32">
        <f t="shared" ref="X41:X42" si="21">W41*(1+$X$19/100)</f>
        <v>2390.1097071780828</v>
      </c>
      <c r="Y41" s="32">
        <f t="shared" ref="Y41:Y42" si="22">W41*(1+$Y$19/100)</f>
        <v>2436.9746033972606</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7148</v>
      </c>
      <c r="L42" s="115">
        <v>6108000</v>
      </c>
      <c r="M42" s="71"/>
      <c r="N42" s="111"/>
      <c r="O42" s="112"/>
      <c r="P42" t="s">
        <v>25</v>
      </c>
      <c r="Q42" s="67"/>
      <c r="R42" s="167">
        <v>2537951</v>
      </c>
      <c r="S42" s="205" t="s">
        <v>5615</v>
      </c>
      <c r="T42" s="193">
        <f>T41-5</f>
        <v>504</v>
      </c>
      <c r="U42" s="205" t="s">
        <v>5616</v>
      </c>
      <c r="V42" s="205">
        <v>1768.2</v>
      </c>
      <c r="W42" s="205">
        <f t="shared" si="6"/>
        <v>2478.7160482191784</v>
      </c>
      <c r="X42" s="32">
        <f t="shared" si="21"/>
        <v>2528.2903691835622</v>
      </c>
      <c r="Y42" s="32">
        <f t="shared" si="22"/>
        <v>2577.8646901479456</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7149</v>
      </c>
      <c r="L43" s="115">
        <v>-1000000</v>
      </c>
      <c r="M43" s="166"/>
      <c r="N43" s="111"/>
      <c r="P43" t="s">
        <v>25</v>
      </c>
      <c r="Q43" s="67"/>
      <c r="R43" s="167">
        <v>67414766</v>
      </c>
      <c r="S43" s="205" t="s">
        <v>5624</v>
      </c>
      <c r="T43" s="193">
        <f>T42-3</f>
        <v>501</v>
      </c>
      <c r="U43" s="205" t="s">
        <v>5631</v>
      </c>
      <c r="V43" s="205">
        <v>1582.3</v>
      </c>
      <c r="W43" s="205">
        <f t="shared" si="6"/>
        <v>2214.4743682191779</v>
      </c>
      <c r="X43" s="32">
        <f t="shared" ref="X43:X44" si="23">W43*(1+$X$19/100)</f>
        <v>2258.7638555835615</v>
      </c>
      <c r="Y43" s="32">
        <f t="shared" ref="Y43:Y44" si="24">W43*(1+$Y$19/100)</f>
        <v>2303.0533429479451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7130</v>
      </c>
      <c r="L44" s="115">
        <v>-43000000</v>
      </c>
      <c r="M44" s="166" t="s">
        <v>6619</v>
      </c>
      <c r="N44" s="111">
        <v>-14000000</v>
      </c>
      <c r="O44" t="s">
        <v>25</v>
      </c>
      <c r="P44" t="s">
        <v>25</v>
      </c>
      <c r="Q44" s="67"/>
      <c r="R44" s="167">
        <v>23400057</v>
      </c>
      <c r="S44" s="205" t="s">
        <v>5628</v>
      </c>
      <c r="T44" s="193">
        <f>T43-1</f>
        <v>500</v>
      </c>
      <c r="U44" s="205" t="s">
        <v>5632</v>
      </c>
      <c r="V44" s="205">
        <v>1610.6</v>
      </c>
      <c r="W44" s="205">
        <f t="shared" si="6"/>
        <v>2252.8455035616439</v>
      </c>
      <c r="X44" s="32">
        <f t="shared" si="23"/>
        <v>2297.9024136328767</v>
      </c>
      <c r="Y44" s="32">
        <f t="shared" si="24"/>
        <v>2342.9593237041099</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496</v>
      </c>
      <c r="U45" s="205" t="s">
        <v>5635</v>
      </c>
      <c r="V45" s="205">
        <v>1582</v>
      </c>
      <c r="W45" s="205">
        <f t="shared" si="6"/>
        <v>2207.9865643835619</v>
      </c>
      <c r="X45" s="32">
        <f t="shared" ref="X45:X46" si="25">W45*(1+$X$19/100)</f>
        <v>2252.146295671233</v>
      </c>
      <c r="Y45" s="32">
        <f t="shared" ref="Y45:Y46" si="26">W45*(1+$Y$19/100)</f>
        <v>2296.3060269589046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495</v>
      </c>
      <c r="U46" s="205" t="s">
        <v>5637</v>
      </c>
      <c r="V46" s="205">
        <v>1530</v>
      </c>
      <c r="W46" s="205">
        <f t="shared" si="6"/>
        <v>2134.2368219178084</v>
      </c>
      <c r="X46" s="32">
        <f t="shared" si="25"/>
        <v>2176.9215583561645</v>
      </c>
      <c r="Y46" s="32">
        <f t="shared" si="26"/>
        <v>2219.6062947945206</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493</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7147</v>
      </c>
      <c r="L48" s="115">
        <v>25000000</v>
      </c>
      <c r="M48" s="19" t="s">
        <v>4156</v>
      </c>
      <c r="N48" s="111">
        <f t="shared" ref="N48:N55" si="29">O48*P48</f>
        <v>4587882432</v>
      </c>
      <c r="O48" s="97">
        <f>SUM(Z117:Z160)</f>
        <v>3465168</v>
      </c>
      <c r="P48" s="97">
        <v>1324</v>
      </c>
      <c r="Q48" s="67">
        <f>N48*100/$S$201</f>
        <v>44.923344164923243</v>
      </c>
      <c r="R48" s="167"/>
      <c r="S48" s="205" t="s">
        <v>5655</v>
      </c>
      <c r="T48" s="193">
        <f>T47-19</f>
        <v>474</v>
      </c>
      <c r="U48" s="205" t="s">
        <v>5656</v>
      </c>
      <c r="V48" s="205">
        <v>1160</v>
      </c>
      <c r="W48" s="205">
        <f t="shared" si="6"/>
        <v>1599.427068493151</v>
      </c>
      <c r="X48" s="32">
        <f t="shared" si="27"/>
        <v>1631.415609863014</v>
      </c>
      <c r="Y48" s="32">
        <f t="shared" si="28"/>
        <v>1663.404151232877</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1628590800</v>
      </c>
      <c r="O49" s="97">
        <f>SUM(AB117:AB161)</f>
        <v>4071477</v>
      </c>
      <c r="P49" s="97">
        <v>400</v>
      </c>
      <c r="Q49" s="67">
        <f>N49*100/$S$201</f>
        <v>15.946734925448865</v>
      </c>
      <c r="R49" s="167"/>
      <c r="S49" s="205" t="s">
        <v>5657</v>
      </c>
      <c r="T49" s="193">
        <f>T48-1</f>
        <v>473</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472</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469</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-23900000</v>
      </c>
      <c r="M52" s="19" t="s">
        <v>4358</v>
      </c>
      <c r="N52" s="115">
        <f t="shared" si="29"/>
        <v>0</v>
      </c>
      <c r="O52" s="67">
        <v>0</v>
      </c>
      <c r="P52" s="67">
        <v>19445</v>
      </c>
      <c r="Q52" s="67"/>
      <c r="R52" s="167"/>
      <c r="S52" s="205" t="s">
        <v>5664</v>
      </c>
      <c r="T52" s="193">
        <f>T51-2</f>
        <v>467</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460</v>
      </c>
      <c r="U53" s="205" t="s">
        <v>6457</v>
      </c>
      <c r="V53" s="205">
        <v>1100</v>
      </c>
      <c r="W53" s="205">
        <f t="shared" si="30"/>
        <v>1504.884383561644</v>
      </c>
      <c r="X53" s="32">
        <f t="shared" si="27"/>
        <v>1534.9820712328769</v>
      </c>
      <c r="Y53" s="32">
        <f t="shared" si="28"/>
        <v>1565.0797589041099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440</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418</v>
      </c>
      <c r="U55" s="205" t="s">
        <v>6971</v>
      </c>
      <c r="V55" s="205">
        <v>1302</v>
      </c>
      <c r="W55" s="205">
        <f t="shared" si="30"/>
        <v>1739.2865095890413</v>
      </c>
      <c r="X55" s="32">
        <f t="shared" si="27"/>
        <v>1774.0722397808222</v>
      </c>
      <c r="Y55" s="32">
        <f t="shared" si="28"/>
        <v>1808.8579699726031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1195000</v>
      </c>
      <c r="Q56" s="67"/>
      <c r="R56" s="167"/>
      <c r="S56" s="205" t="s">
        <v>6456</v>
      </c>
      <c r="T56" s="193">
        <f>T55-196</f>
        <v>222</v>
      </c>
      <c r="U56" s="205" t="s">
        <v>6458</v>
      </c>
      <c r="V56" s="205">
        <v>1343</v>
      </c>
      <c r="W56" s="205">
        <f t="shared" si="30"/>
        <v>1592.1283397260277</v>
      </c>
      <c r="X56" s="32">
        <f t="shared" ref="X56:X61" si="32">W56*(1+$X$19/100)</f>
        <v>1623.9709065205482</v>
      </c>
      <c r="Y56" s="32">
        <f t="shared" ref="Y56:Y61" si="33">W56*(1+$Y$19/100)</f>
        <v>1655.8134733150689</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221</v>
      </c>
      <c r="U57" s="205" t="s">
        <v>6460</v>
      </c>
      <c r="V57" s="205">
        <v>1350.4</v>
      </c>
      <c r="W57" s="205">
        <f t="shared" si="30"/>
        <v>1599.8651265753426</v>
      </c>
      <c r="X57" s="32">
        <f t="shared" si="32"/>
        <v>1631.8624291068495</v>
      </c>
      <c r="Y57" s="32">
        <f t="shared" si="33"/>
        <v>1663.8597316383564</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217</v>
      </c>
      <c r="U58" s="205" t="s">
        <v>6464</v>
      </c>
      <c r="V58" s="205">
        <v>1350.3</v>
      </c>
      <c r="W58" s="205">
        <f t="shared" si="30"/>
        <v>1595.6032668493149</v>
      </c>
      <c r="X58" s="32">
        <f t="shared" si="32"/>
        <v>1627.5153321863013</v>
      </c>
      <c r="Y58" s="32">
        <f t="shared" si="33"/>
        <v>1659.4273975232875</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216</v>
      </c>
      <c r="U59" s="205" t="s">
        <v>6473</v>
      </c>
      <c r="V59" s="205">
        <v>1375.2</v>
      </c>
      <c r="W59" s="205">
        <f t="shared" si="30"/>
        <v>1623.9717961643837</v>
      </c>
      <c r="X59" s="32">
        <f t="shared" si="32"/>
        <v>1656.4512320876713</v>
      </c>
      <c r="Y59" s="32">
        <f t="shared" si="33"/>
        <v>1688.9306680109592</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O48+64</f>
        <v>3465232</v>
      </c>
      <c r="P60" s="113"/>
      <c r="R60" s="167"/>
      <c r="S60" s="205" t="s">
        <v>6476</v>
      </c>
      <c r="T60" s="193">
        <f>T59-1</f>
        <v>215</v>
      </c>
      <c r="U60" s="205" t="s">
        <v>6477</v>
      </c>
      <c r="V60" s="205">
        <v>1406</v>
      </c>
      <c r="W60" s="205">
        <f t="shared" si="30"/>
        <v>1659.2648986301372</v>
      </c>
      <c r="X60" s="32">
        <f t="shared" si="32"/>
        <v>1692.4501966027399</v>
      </c>
      <c r="Y60" s="32">
        <f t="shared" si="33"/>
        <v>1725.6354945753428</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154</v>
      </c>
      <c r="U61" s="205" t="s">
        <v>7073</v>
      </c>
      <c r="V61" s="205">
        <v>539</v>
      </c>
      <c r="W61" s="205">
        <f t="shared" si="30"/>
        <v>610.8686356164385</v>
      </c>
      <c r="X61" s="32">
        <f t="shared" si="32"/>
        <v>623.08600832876732</v>
      </c>
      <c r="Y61" s="32">
        <f t="shared" si="33"/>
        <v>635.30338104109603</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101</v>
      </c>
      <c r="U62" s="205" t="s">
        <v>6974</v>
      </c>
      <c r="V62" s="205">
        <v>1500</v>
      </c>
      <c r="W62" s="205">
        <f t="shared" si="30"/>
        <v>1639.019178082192</v>
      </c>
      <c r="X62" s="32">
        <f t="shared" ref="X62:X80" si="35">W62*(1+$X$19/100)</f>
        <v>1671.7995616438359</v>
      </c>
      <c r="Y62" s="32">
        <f t="shared" ref="Y62:Y80" si="36">W62*(1+$Y$19/100)</f>
        <v>1704.5799452054796</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4074277</v>
      </c>
      <c r="P63" t="s">
        <v>25</v>
      </c>
      <c r="Q63" s="113"/>
      <c r="R63" s="167"/>
      <c r="S63" s="205" t="s">
        <v>7025</v>
      </c>
      <c r="T63" s="193">
        <f>T117-1144</f>
        <v>95</v>
      </c>
      <c r="U63" s="205" t="s">
        <v>7026</v>
      </c>
      <c r="V63" s="205">
        <v>1590</v>
      </c>
      <c r="W63" s="205">
        <f t="shared" si="30"/>
        <v>1730.0419726027396</v>
      </c>
      <c r="X63" s="32">
        <f t="shared" si="35"/>
        <v>1764.6428120547944</v>
      </c>
      <c r="Y63" s="32">
        <f t="shared" si="36"/>
        <v>1799.2436515068493</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-X172</f>
        <v>-112452485.92279771</v>
      </c>
      <c r="P64" t="s">
        <v>25</v>
      </c>
      <c r="Q64" s="120"/>
      <c r="R64" s="167"/>
      <c r="S64" s="205" t="s">
        <v>7055</v>
      </c>
      <c r="T64" s="193">
        <f>T117-1164</f>
        <v>75</v>
      </c>
      <c r="U64" s="205" t="s">
        <v>7056</v>
      </c>
      <c r="V64" s="205">
        <v>1420</v>
      </c>
      <c r="W64" s="205">
        <f t="shared" si="30"/>
        <v>1523.2826301369867</v>
      </c>
      <c r="X64" s="32">
        <f t="shared" si="35"/>
        <v>1553.7482827397264</v>
      </c>
      <c r="Y64" s="32">
        <f t="shared" si="36"/>
        <v>1584.2139353424661</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74</v>
      </c>
      <c r="U65" s="205" t="s">
        <v>7065</v>
      </c>
      <c r="V65" s="205">
        <v>1437</v>
      </c>
      <c r="W65" s="205">
        <f t="shared" si="30"/>
        <v>1540.4167561643837</v>
      </c>
      <c r="X65" s="32">
        <f t="shared" si="35"/>
        <v>1571.2250912876714</v>
      </c>
      <c r="Y65" s="32">
        <f t="shared" si="36"/>
        <v>1602.0334264109592</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60</v>
      </c>
      <c r="U66" s="205" t="s">
        <v>7067</v>
      </c>
      <c r="V66" s="205">
        <v>1423</v>
      </c>
      <c r="W66" s="205">
        <f t="shared" si="30"/>
        <v>1510.12658630137</v>
      </c>
      <c r="X66" s="32">
        <f t="shared" si="35"/>
        <v>1540.3291180273975</v>
      </c>
      <c r="Y66" s="32">
        <f t="shared" si="36"/>
        <v>1570.531649753425</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10546507618.077202</v>
      </c>
      <c r="P67" t="s">
        <v>25</v>
      </c>
      <c r="Q67" s="113"/>
      <c r="R67" s="167"/>
      <c r="S67" s="205" t="s">
        <v>7068</v>
      </c>
      <c r="T67" s="193">
        <f>T117-1183</f>
        <v>56</v>
      </c>
      <c r="U67" s="205" t="s">
        <v>7070</v>
      </c>
      <c r="V67" s="205">
        <v>1426</v>
      </c>
      <c r="W67" s="205">
        <f t="shared" si="30"/>
        <v>1508.9345972602741</v>
      </c>
      <c r="X67" s="32">
        <f t="shared" si="35"/>
        <v>1539.1132892054795</v>
      </c>
      <c r="Y67" s="32">
        <f t="shared" si="36"/>
        <v>1569.2919811506852</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49767955.129178047</v>
      </c>
      <c r="M68" s="166"/>
      <c r="N68" s="111">
        <f>N16+N17+N40</f>
        <v>141053</v>
      </c>
      <c r="P68" t="s">
        <v>25</v>
      </c>
      <c r="R68" s="167"/>
      <c r="S68" s="205" t="s">
        <v>7074</v>
      </c>
      <c r="T68" s="193">
        <f>T117-1185</f>
        <v>54</v>
      </c>
      <c r="U68" s="205" t="s">
        <v>7099</v>
      </c>
      <c r="V68" s="205">
        <v>432</v>
      </c>
      <c r="W68" s="205">
        <f t="shared" si="30"/>
        <v>456.46185205479452</v>
      </c>
      <c r="X68" s="32">
        <f t="shared" si="35"/>
        <v>465.59108909589042</v>
      </c>
      <c r="Y68" s="32">
        <f t="shared" si="36"/>
        <v>474.72032613698633</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67513492.129178047</v>
      </c>
      <c r="M69" s="111"/>
      <c r="N69" s="166"/>
      <c r="O69" s="113"/>
      <c r="P69" s="113" t="s">
        <v>25</v>
      </c>
      <c r="R69" s="167"/>
      <c r="S69" s="205" t="s">
        <v>7080</v>
      </c>
      <c r="T69" s="193">
        <f>T117-1190</f>
        <v>49</v>
      </c>
      <c r="U69" s="205" t="s">
        <v>7081</v>
      </c>
      <c r="V69" s="205">
        <v>1536</v>
      </c>
      <c r="W69" s="205">
        <f t="shared" si="30"/>
        <v>1617.0839671232877</v>
      </c>
      <c r="X69" s="32">
        <f t="shared" si="35"/>
        <v>1649.4256464657535</v>
      </c>
      <c r="Y69" s="32">
        <f t="shared" si="36"/>
        <v>1681.7673258082193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149767955.12917805</v>
      </c>
      <c r="O70" s="94"/>
      <c r="P70" s="120" t="s">
        <v>25</v>
      </c>
      <c r="R70" s="167"/>
      <c r="S70" s="205" t="s">
        <v>7084</v>
      </c>
      <c r="T70" s="193">
        <f>T117-1191</f>
        <v>48</v>
      </c>
      <c r="U70" s="205" t="s">
        <v>7114</v>
      </c>
      <c r="V70" s="205">
        <v>1552</v>
      </c>
      <c r="W70" s="205">
        <f t="shared" si="30"/>
        <v>1632.7380164383565</v>
      </c>
      <c r="X70" s="32">
        <f t="shared" si="35"/>
        <v>1665.3927767671237</v>
      </c>
      <c r="Y70" s="32">
        <f t="shared" si="36"/>
        <v>1698.0475370958907</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34</v>
      </c>
      <c r="U71" s="205" t="s">
        <v>7115</v>
      </c>
      <c r="V71" s="205">
        <v>432</v>
      </c>
      <c r="W71" s="205">
        <f t="shared" si="30"/>
        <v>449.8339068493151</v>
      </c>
      <c r="X71" s="32">
        <f t="shared" si="35"/>
        <v>458.8305849863014</v>
      </c>
      <c r="Y71" s="32">
        <f t="shared" si="36"/>
        <v>467.82726312328771</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32</v>
      </c>
      <c r="U72" s="205" t="s">
        <v>7118</v>
      </c>
      <c r="V72" s="205">
        <v>422</v>
      </c>
      <c r="W72" s="205">
        <f t="shared" si="30"/>
        <v>438.77363287671238</v>
      </c>
      <c r="X72" s="32">
        <f t="shared" si="35"/>
        <v>447.54910553424662</v>
      </c>
      <c r="Y72" s="32">
        <f t="shared" si="36"/>
        <v>456.32457819178092</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7117</v>
      </c>
      <c r="T73" s="193">
        <f>T117-1210</f>
        <v>29</v>
      </c>
      <c r="U73" s="205" t="s">
        <v>7127</v>
      </c>
      <c r="V73" s="205">
        <v>1371</v>
      </c>
      <c r="W73" s="205">
        <f t="shared" si="30"/>
        <v>1422.3392547945205</v>
      </c>
      <c r="X73" s="32">
        <f t="shared" si="35"/>
        <v>1450.7860398904108</v>
      </c>
      <c r="Y73" s="32">
        <f t="shared" si="36"/>
        <v>1479.2328249863012</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28</v>
      </c>
      <c r="U74" s="205" t="s">
        <v>7120</v>
      </c>
      <c r="V74" s="205">
        <v>411</v>
      </c>
      <c r="W74" s="205">
        <f t="shared" si="30"/>
        <v>426.07525479452056</v>
      </c>
      <c r="X74" s="32">
        <f t="shared" si="35"/>
        <v>434.59675989041096</v>
      </c>
      <c r="Y74" s="32">
        <f t="shared" si="36"/>
        <v>443.11826498630143</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10002150000</v>
      </c>
      <c r="M75" s="207">
        <f>N28+N35+N48</f>
        <v>8286426120</v>
      </c>
      <c r="N75" s="181">
        <f t="shared" ref="N75:N80" si="39">L75-M75</f>
        <v>1715723880</v>
      </c>
      <c r="R75" s="167"/>
      <c r="S75" s="205" t="s">
        <v>7123</v>
      </c>
      <c r="T75" s="193">
        <f>T117-1214</f>
        <v>25</v>
      </c>
      <c r="U75" s="205" t="s">
        <v>7124</v>
      </c>
      <c r="V75" s="205">
        <v>400</v>
      </c>
      <c r="W75" s="205">
        <f t="shared" si="30"/>
        <v>413.75123287671238</v>
      </c>
      <c r="X75" s="32">
        <f t="shared" si="35"/>
        <v>422.02625753424661</v>
      </c>
      <c r="Y75" s="32">
        <f t="shared" si="36"/>
        <v>430.3012821917809</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2736550000</v>
      </c>
      <c r="M76" s="1">
        <f>N49+N36+N29</f>
        <v>1937586400</v>
      </c>
      <c r="N76" s="111">
        <f t="shared" si="39"/>
        <v>798963600</v>
      </c>
      <c r="R76" s="167"/>
      <c r="S76" s="205" t="s">
        <v>7126</v>
      </c>
      <c r="T76" s="193">
        <f>T117-1217</f>
        <v>22</v>
      </c>
      <c r="U76" s="205" t="s">
        <v>7136</v>
      </c>
      <c r="V76" s="205">
        <v>395</v>
      </c>
      <c r="W76" s="205">
        <f t="shared" si="30"/>
        <v>407.67030136986307</v>
      </c>
      <c r="X76" s="32">
        <f t="shared" si="35"/>
        <v>415.82370739726036</v>
      </c>
      <c r="Y76" s="32">
        <f t="shared" si="36"/>
        <v>423.9771134246576</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7134</v>
      </c>
      <c r="T77" s="193">
        <f>T117-1220</f>
        <v>19</v>
      </c>
      <c r="U77" s="205" t="s">
        <v>7135</v>
      </c>
      <c r="V77" s="205">
        <v>1175</v>
      </c>
      <c r="W77" s="205">
        <f t="shared" si="30"/>
        <v>1209.9860273972602</v>
      </c>
      <c r="X77" s="32">
        <f t="shared" si="35"/>
        <v>1234.1857479452053</v>
      </c>
      <c r="Y77" s="32">
        <f t="shared" si="36"/>
        <v>1258.3854684931507</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-183</v>
      </c>
      <c r="L80" s="237">
        <f t="shared" si="38"/>
        <v>-2186850000</v>
      </c>
      <c r="M80" s="237">
        <v>0</v>
      </c>
      <c r="N80" s="84">
        <f t="shared" si="39"/>
        <v>-2186850000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1761769239.6758094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883</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11950000</v>
      </c>
      <c r="M83" s="1">
        <f>K83*L83</f>
        <v>0</v>
      </c>
      <c r="N83" s="111">
        <f>SUM(N75:N81)-M83</f>
        <v>327836889</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6" t="s">
        <v>4596</v>
      </c>
      <c r="K85" s="497"/>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1239</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1177</v>
      </c>
      <c r="U87" s="188" t="s">
        <v>4453</v>
      </c>
      <c r="V87" s="166">
        <v>184.6</v>
      </c>
      <c r="W87" s="166">
        <f t="shared" ref="W87:W104" si="41">V87*(1+$S$113+$R$15*T87/36500)</f>
        <v>354.08201863013699</v>
      </c>
      <c r="X87" s="32">
        <f t="shared" ref="X87:X94" si="42">W87*(1+$X$19/100)</f>
        <v>361.16365900273973</v>
      </c>
      <c r="Y87" s="32">
        <f t="shared" ref="Y87:Y94" si="43">W87*(1+$Y$19/100)</f>
        <v>368.24529937534248</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1156</v>
      </c>
      <c r="U88" s="187" t="s">
        <v>4457</v>
      </c>
      <c r="V88" s="166">
        <v>168.5</v>
      </c>
      <c r="W88" s="166">
        <f t="shared" si="41"/>
        <v>320.48607671232878</v>
      </c>
      <c r="X88" s="32">
        <f t="shared" si="42"/>
        <v>326.89579824657534</v>
      </c>
      <c r="Y88" s="32">
        <f t="shared" si="43"/>
        <v>333.30551978082195</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1155</v>
      </c>
      <c r="U89" s="187" t="s">
        <v>4461</v>
      </c>
      <c r="V89" s="166">
        <v>166.7</v>
      </c>
      <c r="W89" s="166">
        <f t="shared" si="41"/>
        <v>316.93460712328766</v>
      </c>
      <c r="X89" s="32">
        <f t="shared" si="42"/>
        <v>323.27329926575339</v>
      </c>
      <c r="Y89" s="32">
        <f t="shared" si="43"/>
        <v>329.61199140821918</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1154</v>
      </c>
      <c r="U90" s="187" t="s">
        <v>4465</v>
      </c>
      <c r="V90" s="166">
        <v>166.6</v>
      </c>
      <c r="W90" s="166">
        <f t="shared" si="41"/>
        <v>316.61668164383565</v>
      </c>
      <c r="X90" s="32">
        <f t="shared" si="42"/>
        <v>322.94901527671237</v>
      </c>
      <c r="Y90" s="32">
        <f t="shared" si="43"/>
        <v>329.2813489095891</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1124</v>
      </c>
      <c r="U91" s="187" t="s">
        <v>4547</v>
      </c>
      <c r="V91" s="166">
        <v>172.2</v>
      </c>
      <c r="W91" s="166">
        <f t="shared" si="41"/>
        <v>323.29630027397258</v>
      </c>
      <c r="X91" s="32">
        <f t="shared" si="42"/>
        <v>329.76222627945202</v>
      </c>
      <c r="Y91" s="32">
        <f t="shared" si="43"/>
        <v>336.22815228493147</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1049</v>
      </c>
      <c r="U92" s="187" t="s">
        <v>4768</v>
      </c>
      <c r="V92" s="205">
        <v>183</v>
      </c>
      <c r="W92" s="205">
        <f t="shared" si="41"/>
        <v>333.04395616438359</v>
      </c>
      <c r="X92" s="32">
        <f t="shared" si="42"/>
        <v>339.70483528767124</v>
      </c>
      <c r="Y92" s="32">
        <f t="shared" si="43"/>
        <v>346.36571441095896</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1015</v>
      </c>
      <c r="U93" s="187" t="s">
        <v>4845</v>
      </c>
      <c r="V93" s="205">
        <v>218.5</v>
      </c>
      <c r="W93" s="205">
        <f t="shared" si="41"/>
        <v>391.95188493150687</v>
      </c>
      <c r="X93" s="32">
        <f t="shared" si="42"/>
        <v>399.790922630137</v>
      </c>
      <c r="Y93" s="32">
        <f t="shared" si="43"/>
        <v>407.62996032876714</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999</v>
      </c>
      <c r="U94" s="187" t="s">
        <v>5589</v>
      </c>
      <c r="V94" s="205">
        <v>196.2</v>
      </c>
      <c r="W94" s="205">
        <f t="shared" si="41"/>
        <v>349.54131945205478</v>
      </c>
      <c r="X94" s="32">
        <f t="shared" si="42"/>
        <v>356.53214584109588</v>
      </c>
      <c r="Y94" s="32">
        <f t="shared" si="43"/>
        <v>363.52297223013699</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501</v>
      </c>
      <c r="U95" s="187" t="s">
        <v>5625</v>
      </c>
      <c r="V95" s="205">
        <v>1550</v>
      </c>
      <c r="W95" s="205">
        <f t="shared" si="41"/>
        <v>2169.269589041096</v>
      </c>
      <c r="X95" s="32">
        <f t="shared" ref="X95:X101" si="44">W95*(1+$X$19/100)</f>
        <v>2212.6549808219179</v>
      </c>
      <c r="Y95" s="32">
        <f t="shared" ref="Y95:Y101" si="45">W95*(1+$Y$19/100)</f>
        <v>2256.0403726027398</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418</v>
      </c>
      <c r="U96" s="187" t="s">
        <v>5721</v>
      </c>
      <c r="V96" s="205">
        <v>1275</v>
      </c>
      <c r="W96" s="205">
        <f t="shared" si="41"/>
        <v>1703.2183561643837</v>
      </c>
      <c r="X96" s="32">
        <f t="shared" si="44"/>
        <v>1737.2827232876714</v>
      </c>
      <c r="Y96" s="32">
        <f t="shared" si="45"/>
        <v>1771.3470904109593</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413</v>
      </c>
      <c r="U97" s="187" t="s">
        <v>5729</v>
      </c>
      <c r="V97" s="205">
        <v>1210</v>
      </c>
      <c r="W97" s="205">
        <f t="shared" si="41"/>
        <v>1611.7465205479455</v>
      </c>
      <c r="X97" s="32">
        <f t="shared" si="44"/>
        <v>1643.9814509589044</v>
      </c>
      <c r="Y97" s="32">
        <f t="shared" si="45"/>
        <v>1676.2163813698633</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409</v>
      </c>
      <c r="U98" s="187" t="s">
        <v>5735</v>
      </c>
      <c r="V98" s="205">
        <v>1175</v>
      </c>
      <c r="W98" s="205">
        <f t="shared" si="41"/>
        <v>1561.5202739726028</v>
      </c>
      <c r="X98" s="32">
        <f t="shared" si="44"/>
        <v>1592.7506794520548</v>
      </c>
      <c r="Y98" s="32">
        <f t="shared" si="45"/>
        <v>1623.981084931507</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406</v>
      </c>
      <c r="U99" s="187" t="s">
        <v>5737</v>
      </c>
      <c r="V99" s="205">
        <v>1148</v>
      </c>
      <c r="W99" s="205">
        <f t="shared" si="41"/>
        <v>1522.9965589041096</v>
      </c>
      <c r="X99" s="32">
        <f t="shared" si="44"/>
        <v>1553.4564900821917</v>
      </c>
      <c r="Y99" s="32">
        <f t="shared" si="45"/>
        <v>1583.9164212602741</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405</v>
      </c>
      <c r="U100" s="187" t="s">
        <v>5741</v>
      </c>
      <c r="V100" s="205">
        <v>1141</v>
      </c>
      <c r="W100" s="205">
        <f t="shared" si="41"/>
        <v>1512.8347068493154</v>
      </c>
      <c r="X100" s="32">
        <f t="shared" si="44"/>
        <v>1543.0914009863018</v>
      </c>
      <c r="Y100" s="32">
        <f t="shared" si="45"/>
        <v>1573.348095123288</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404</v>
      </c>
      <c r="U101" s="187" t="s">
        <v>7032</v>
      </c>
      <c r="V101" s="205">
        <v>1171</v>
      </c>
      <c r="W101" s="205">
        <f t="shared" si="41"/>
        <v>1551.7129534246576</v>
      </c>
      <c r="X101" s="32">
        <f t="shared" si="44"/>
        <v>1582.7472124931508</v>
      </c>
      <c r="Y101" s="32">
        <f t="shared" si="45"/>
        <v>1613.7814715616439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339</v>
      </c>
      <c r="U102" s="187" t="s">
        <v>5799</v>
      </c>
      <c r="V102" s="205">
        <v>1255.0999999999999</v>
      </c>
      <c r="W102" s="205">
        <f t="shared" si="41"/>
        <v>1600.5722926027399</v>
      </c>
      <c r="X102" s="32">
        <f t="shared" ref="X102:X108" si="47">W102*(1+$X$19/100)</f>
        <v>1632.5837384547947</v>
      </c>
      <c r="Y102" s="32">
        <f t="shared" ref="Y102:Y108" si="48">W102*(1+$Y$19/100)</f>
        <v>1664.5951843068497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70</v>
      </c>
      <c r="U103" s="187" t="s">
        <v>7061</v>
      </c>
      <c r="V103" s="205">
        <v>436.6</v>
      </c>
      <c r="W103" s="205">
        <f t="shared" si="41"/>
        <v>466.6811419178083</v>
      </c>
      <c r="X103" s="32">
        <f t="shared" si="47"/>
        <v>476.01476475616448</v>
      </c>
      <c r="Y103" s="32">
        <f t="shared" si="48"/>
        <v>485.34838759452066</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70</v>
      </c>
      <c r="U104" s="187" t="s">
        <v>7062</v>
      </c>
      <c r="V104" s="205">
        <v>1396</v>
      </c>
      <c r="W104" s="205">
        <f t="shared" si="41"/>
        <v>1492.182487671233</v>
      </c>
      <c r="X104" s="32">
        <f t="shared" si="47"/>
        <v>1522.0261374246577</v>
      </c>
      <c r="Y104" s="32">
        <f t="shared" si="48"/>
        <v>1551.8697871780823</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205766.74629789963</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1239</v>
      </c>
      <c r="U117" s="5" t="s">
        <v>5557</v>
      </c>
      <c r="V117" s="166">
        <v>192</v>
      </c>
      <c r="W117" s="97">
        <f t="shared" ref="W117:W157" si="50">V117*(1+$S$113+$R$15*T117/36500)</f>
        <v>377.40782465753432</v>
      </c>
      <c r="X117" s="32">
        <f t="shared" ref="X117" si="51">W117*(1+$X$19/100)</f>
        <v>384.95598115068503</v>
      </c>
      <c r="Y117" s="32">
        <f t="shared" ref="Y117" si="52">W117*(1+$Y$19/100)</f>
        <v>392.50413764383569</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544</v>
      </c>
      <c r="U118" s="205" t="s">
        <v>5568</v>
      </c>
      <c r="V118" s="205">
        <v>1995.5</v>
      </c>
      <c r="W118" s="97">
        <f t="shared" si="50"/>
        <v>2858.5838191780822</v>
      </c>
      <c r="X118" s="32">
        <f t="shared" ref="X118:X119" si="53">W118*(1+$X$19/100)</f>
        <v>2915.7554955616438</v>
      </c>
      <c r="Y118" s="32">
        <f t="shared" ref="Y118:Y119" si="54">W118*(1+$Y$19/100)</f>
        <v>2972.9271719452054</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539</v>
      </c>
      <c r="U119" s="205" t="s">
        <v>5617</v>
      </c>
      <c r="V119" s="205">
        <v>1751</v>
      </c>
      <c r="W119" s="97">
        <f t="shared" si="50"/>
        <v>2501.6177205479457</v>
      </c>
      <c r="X119" s="32">
        <f t="shared" si="53"/>
        <v>2551.6500749589045</v>
      </c>
      <c r="Y119" s="32">
        <f t="shared" si="54"/>
        <v>2601.6824293698637</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503</v>
      </c>
      <c r="U120" s="205" t="s">
        <v>5620</v>
      </c>
      <c r="V120" s="205">
        <v>1715</v>
      </c>
      <c r="W120" s="97">
        <f t="shared" si="50"/>
        <v>2402.8230684931509</v>
      </c>
      <c r="X120" s="32">
        <f t="shared" ref="X120" si="55">W120*(1+$X$19/100)</f>
        <v>2450.8795298630139</v>
      </c>
      <c r="Y120" s="32">
        <f t="shared" ref="Y120" si="56">W120*(1+$Y$19/100)</f>
        <v>2498.9359912328769</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502</v>
      </c>
      <c r="U121" s="205" t="s">
        <v>5622</v>
      </c>
      <c r="V121" s="205">
        <v>1631</v>
      </c>
      <c r="W121" s="97">
        <f t="shared" si="50"/>
        <v>2283.882597260274</v>
      </c>
      <c r="X121" s="32">
        <f t="shared" ref="X121:X122" si="57">W121*(1+$X$19/100)</f>
        <v>2329.5602492054795</v>
      </c>
      <c r="Y121" s="32">
        <f t="shared" ref="Y121:Y122" si="58">W121*(1+$Y$19/100)</f>
        <v>2375.237901150685</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501</v>
      </c>
      <c r="U122" s="205" t="s">
        <v>5643</v>
      </c>
      <c r="V122" s="205">
        <v>1567.4</v>
      </c>
      <c r="W122" s="97">
        <f t="shared" si="50"/>
        <v>2193.6213895890414</v>
      </c>
      <c r="X122" s="32">
        <f t="shared" si="57"/>
        <v>2237.4938173808223</v>
      </c>
      <c r="Y122" s="32">
        <f t="shared" si="58"/>
        <v>2281.3662451726032</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488</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487</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6258630</v>
      </c>
      <c r="H125" s="32" t="s">
        <v>5431</v>
      </c>
      <c r="I125" s="32">
        <f>O52</f>
        <v>0</v>
      </c>
      <c r="J125" s="112"/>
      <c r="K125" s="94"/>
      <c r="L125" s="94"/>
      <c r="M125" s="94"/>
      <c r="R125" s="167"/>
      <c r="S125" s="205" t="s">
        <v>5648</v>
      </c>
      <c r="T125" s="205">
        <f>T124-1</f>
        <v>486</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1463433.836858006</v>
      </c>
      <c r="H126" s="274" t="s">
        <v>5432</v>
      </c>
      <c r="I126" s="32">
        <f>(N48+N51+N35+N31+N28+N29+N30+N36+N53+N49)/P52</f>
        <v>525791.33556184114</v>
      </c>
      <c r="J126" s="112"/>
      <c r="K126" s="94"/>
      <c r="L126" s="94" t="s">
        <v>25</v>
      </c>
      <c r="M126" s="94"/>
      <c r="R126" s="167"/>
      <c r="S126" s="205" t="s">
        <v>5701</v>
      </c>
      <c r="T126" s="205">
        <f>T125-53</f>
        <v>433</v>
      </c>
      <c r="U126" s="205" t="s">
        <v>6942</v>
      </c>
      <c r="V126" s="205">
        <v>1500</v>
      </c>
      <c r="W126" s="97">
        <f t="shared" si="50"/>
        <v>2021.046575342466</v>
      </c>
      <c r="X126" s="32">
        <f t="shared" ref="X126:X129" si="63">W126*(1+$X$19/100)</f>
        <v>2061.4675068493152</v>
      </c>
      <c r="Y126" s="32">
        <f t="shared" ref="Y126:Y129" si="64">W126*(1+$Y$19/100)</f>
        <v>2101.8884383561649</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7722063.8368580062</v>
      </c>
      <c r="H127" s="32" t="s">
        <v>5433</v>
      </c>
      <c r="I127" s="32">
        <f>I125+I126</f>
        <v>525791.33556184114</v>
      </c>
      <c r="J127" s="112"/>
      <c r="K127" s="94"/>
      <c r="L127" s="94"/>
      <c r="N127" s="94"/>
      <c r="R127" s="167"/>
      <c r="S127" s="205" t="s">
        <v>5754</v>
      </c>
      <c r="T127" s="205">
        <f>T126-71</f>
        <v>362</v>
      </c>
      <c r="U127" s="205" t="s">
        <v>5758</v>
      </c>
      <c r="V127" s="205">
        <v>1354.1</v>
      </c>
      <c r="W127" s="97">
        <f t="shared" si="50"/>
        <v>1750.7140350684933</v>
      </c>
      <c r="X127" s="32">
        <f t="shared" si="63"/>
        <v>1785.7283157698632</v>
      </c>
      <c r="Y127" s="32">
        <f t="shared" si="64"/>
        <v>1820.7425964712331</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(X172+X173)/P48</f>
        <v>368249.96652057854</v>
      </c>
      <c r="H128" s="32" t="s">
        <v>5413</v>
      </c>
      <c r="I128" s="32">
        <f>(X172+X173)/P52</f>
        <v>25073.949893198562</v>
      </c>
      <c r="J128" s="112"/>
      <c r="K128" s="94"/>
      <c r="L128" s="94"/>
      <c r="M128" s="94"/>
      <c r="N128" s="94"/>
      <c r="R128" s="167"/>
      <c r="S128" s="205" t="s">
        <v>5759</v>
      </c>
      <c r="T128" s="205">
        <f>T127-8</f>
        <v>354</v>
      </c>
      <c r="U128" s="205" t="s">
        <v>5775</v>
      </c>
      <c r="V128" s="205">
        <v>1266</v>
      </c>
      <c r="W128" s="97">
        <f t="shared" si="50"/>
        <v>1629.0402410958907</v>
      </c>
      <c r="X128" s="32">
        <f t="shared" si="63"/>
        <v>1661.6210459178085</v>
      </c>
      <c r="Y128" s="32">
        <f t="shared" si="64"/>
        <v>1694.2018507397263</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X170/P48</f>
        <v>2611154.9941069307</v>
      </c>
      <c r="H129" s="32" t="s">
        <v>480</v>
      </c>
      <c r="I129" s="32">
        <f>X170/P52</f>
        <v>177792.19399318981</v>
      </c>
      <c r="J129" s="112"/>
      <c r="K129" s="94"/>
      <c r="L129" s="94"/>
      <c r="N129" s="94"/>
      <c r="R129" s="167"/>
      <c r="S129" s="205" t="s">
        <v>5776</v>
      </c>
      <c r="T129" s="205">
        <f>T128-13</f>
        <v>341</v>
      </c>
      <c r="U129" s="205" t="s">
        <v>6451</v>
      </c>
      <c r="V129" s="205">
        <v>1275</v>
      </c>
      <c r="W129" s="97">
        <f t="shared" si="50"/>
        <v>1627.9060273972605</v>
      </c>
      <c r="X129" s="32">
        <f t="shared" si="63"/>
        <v>1660.4641479452057</v>
      </c>
      <c r="Y129" s="32">
        <f t="shared" si="64"/>
        <v>1693.0222684931509</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4742658.8762304969</v>
      </c>
      <c r="H130" s="32" t="s">
        <v>5</v>
      </c>
      <c r="I130" s="32">
        <f>I127-I128-I129</f>
        <v>322925.19167545275</v>
      </c>
      <c r="J130" s="112"/>
      <c r="K130" s="94"/>
      <c r="L130" s="94"/>
      <c r="M130" t="s">
        <v>25</v>
      </c>
      <c r="N130" s="94"/>
      <c r="R130" s="167"/>
      <c r="S130" s="205" t="s">
        <v>6452</v>
      </c>
      <c r="T130" s="205">
        <f>T129-117</f>
        <v>224</v>
      </c>
      <c r="U130" s="205" t="s">
        <v>6453</v>
      </c>
      <c r="V130" s="205">
        <v>1310</v>
      </c>
      <c r="W130" s="97">
        <f t="shared" si="50"/>
        <v>1555.0166575342466</v>
      </c>
      <c r="X130" s="32">
        <f t="shared" ref="X130:X131" si="67">W130*(1+$X$19/100)</f>
        <v>1586.1169906849316</v>
      </c>
      <c r="Y130" s="32">
        <f t="shared" ref="Y130:Y131" si="68">W130*(1+$Y$19/100)</f>
        <v>1617.2173238356165</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220</v>
      </c>
      <c r="U131" s="205" t="s">
        <v>6595</v>
      </c>
      <c r="V131" s="205">
        <v>1388</v>
      </c>
      <c r="W131" s="97">
        <f t="shared" si="50"/>
        <v>1643.3463671232878</v>
      </c>
      <c r="X131" s="32">
        <f t="shared" si="67"/>
        <v>1676.2132944657535</v>
      </c>
      <c r="Y131" s="32">
        <f t="shared" si="68"/>
        <v>1709.0802218082194</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181</v>
      </c>
      <c r="U132" s="205" t="s">
        <v>6908</v>
      </c>
      <c r="V132" s="205">
        <v>1702</v>
      </c>
      <c r="W132" s="97">
        <f t="shared" si="50"/>
        <v>1964.1919342465753</v>
      </c>
      <c r="X132" s="32">
        <f t="shared" ref="X132:X138" si="69">W132*(1+$X$19/100)</f>
        <v>2003.475772931507</v>
      </c>
      <c r="Y132" s="32">
        <f t="shared" ref="Y132:Y138" si="70">W132*(1+$Y$19/100)</f>
        <v>2042.7596116164384</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153</v>
      </c>
      <c r="U133" s="205" t="s">
        <v>6913</v>
      </c>
      <c r="V133" s="205">
        <v>1555</v>
      </c>
      <c r="W133" s="97">
        <f t="shared" si="50"/>
        <v>1761.1461369863014</v>
      </c>
      <c r="X133" s="32">
        <f t="shared" si="69"/>
        <v>1796.3690597260274</v>
      </c>
      <c r="Y133" s="32">
        <f t="shared" si="70"/>
        <v>1831.5919824657535</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139</v>
      </c>
      <c r="U134" s="205" t="s">
        <v>6919</v>
      </c>
      <c r="V134" s="205">
        <v>1525</v>
      </c>
      <c r="W134" s="97">
        <f t="shared" si="50"/>
        <v>1710.7909589041099</v>
      </c>
      <c r="X134" s="32">
        <f t="shared" si="69"/>
        <v>1745.0067780821921</v>
      </c>
      <c r="Y134" s="32">
        <f t="shared" si="70"/>
        <v>1779.2225972602744</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137</v>
      </c>
      <c r="U135" s="205" t="s">
        <v>6921</v>
      </c>
      <c r="V135" s="205">
        <v>1541</v>
      </c>
      <c r="W135" s="97">
        <f t="shared" si="50"/>
        <v>1726.3759671232879</v>
      </c>
      <c r="X135" s="32">
        <f t="shared" si="69"/>
        <v>1760.9034864657538</v>
      </c>
      <c r="Y135" s="32">
        <f t="shared" si="70"/>
        <v>1795.4310058082194</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126</v>
      </c>
      <c r="U136" s="205" t="s">
        <v>6946</v>
      </c>
      <c r="V136" s="205">
        <v>1580</v>
      </c>
      <c r="W136" s="97">
        <f t="shared" si="50"/>
        <v>1756.7349041095893</v>
      </c>
      <c r="X136" s="32">
        <f t="shared" si="69"/>
        <v>1791.869602191781</v>
      </c>
      <c r="Y136" s="32">
        <f t="shared" si="70"/>
        <v>1827.0043002739728</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125</v>
      </c>
      <c r="U137" s="205" t="s">
        <v>6948</v>
      </c>
      <c r="V137" s="205">
        <v>1560</v>
      </c>
      <c r="W137" s="97">
        <f t="shared" si="50"/>
        <v>1733.3010410958905</v>
      </c>
      <c r="X137" s="32">
        <f t="shared" si="69"/>
        <v>1767.9670619178082</v>
      </c>
      <c r="Y137" s="32">
        <f t="shared" si="70"/>
        <v>1802.6330827397262</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122</v>
      </c>
      <c r="U138" s="205" t="s">
        <v>6958</v>
      </c>
      <c r="V138" s="205">
        <v>1496</v>
      </c>
      <c r="W138" s="97">
        <f t="shared" si="50"/>
        <v>1658.7484054794522</v>
      </c>
      <c r="X138" s="32">
        <f t="shared" si="69"/>
        <v>1691.9233735890414</v>
      </c>
      <c r="Y138" s="32">
        <f t="shared" si="70"/>
        <v>1725.0983416986303</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105</v>
      </c>
      <c r="U139" s="205" t="s">
        <v>6968</v>
      </c>
      <c r="V139" s="205">
        <v>1495</v>
      </c>
      <c r="W139" s="97">
        <f t="shared" si="50"/>
        <v>1638.1431780821918</v>
      </c>
      <c r="X139" s="32">
        <f t="shared" ref="X139:X150" si="73">W139*(1+$X$19/100)</f>
        <v>1670.9060416438356</v>
      </c>
      <c r="Y139" s="32">
        <f t="shared" ref="Y139:Y150" si="74">W139*(1+$Y$19/100)</f>
        <v>1703.6689052054794</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104</v>
      </c>
      <c r="U140" s="205" t="s">
        <v>7064</v>
      </c>
      <c r="V140" s="205">
        <v>1439</v>
      </c>
      <c r="W140" s="97">
        <f t="shared" si="50"/>
        <v>1575.6774027397262</v>
      </c>
      <c r="X140" s="32">
        <f t="shared" si="73"/>
        <v>1607.1909507945206</v>
      </c>
      <c r="Y140" s="32">
        <f t="shared" si="74"/>
        <v>1638.7044988493153</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56</v>
      </c>
      <c r="U141" s="205" t="s">
        <v>7069</v>
      </c>
      <c r="V141" s="205">
        <v>1427</v>
      </c>
      <c r="W141" s="97">
        <f t="shared" si="50"/>
        <v>1509.9927561643838</v>
      </c>
      <c r="X141" s="32">
        <f t="shared" si="73"/>
        <v>1540.1926112876715</v>
      </c>
      <c r="Y141" s="32">
        <f t="shared" si="74"/>
        <v>1570.3924664109591</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55</v>
      </c>
      <c r="U142" s="205" t="s">
        <v>7072</v>
      </c>
      <c r="V142" s="205">
        <v>1426</v>
      </c>
      <c r="W142" s="97">
        <f t="shared" si="50"/>
        <v>1507.8406794520549</v>
      </c>
      <c r="X142" s="32">
        <f t="shared" si="73"/>
        <v>1537.997493041096</v>
      </c>
      <c r="Y142" s="32">
        <f t="shared" si="74"/>
        <v>1568.1543066301372</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48</v>
      </c>
      <c r="U143" s="205" t="s">
        <v>7083</v>
      </c>
      <c r="V143" s="205">
        <v>1542</v>
      </c>
      <c r="W143" s="97">
        <f t="shared" si="50"/>
        <v>1622.2177972602742</v>
      </c>
      <c r="X143" s="32">
        <f t="shared" si="73"/>
        <v>1654.6621532054796</v>
      </c>
      <c r="Y143" s="32">
        <f t="shared" si="74"/>
        <v>1687.1065091506853</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46</v>
      </c>
      <c r="U144" s="205" t="s">
        <v>7088</v>
      </c>
      <c r="V144" s="205">
        <v>1510</v>
      </c>
      <c r="W144" s="97">
        <f t="shared" si="50"/>
        <v>1586.2363835616438</v>
      </c>
      <c r="X144" s="32">
        <f t="shared" si="73"/>
        <v>1617.9611112328766</v>
      </c>
      <c r="Y144" s="32">
        <f t="shared" si="74"/>
        <v>1649.6858389041097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43</v>
      </c>
      <c r="U145" s="205" t="s">
        <v>7100</v>
      </c>
      <c r="V145" s="205">
        <v>1470</v>
      </c>
      <c r="W145" s="97">
        <f t="shared" si="50"/>
        <v>1540.8338630136989</v>
      </c>
      <c r="X145" s="32">
        <f t="shared" si="73"/>
        <v>1571.6505402739729</v>
      </c>
      <c r="Y145" s="32">
        <f t="shared" si="74"/>
        <v>1602.4672175342469</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42</v>
      </c>
      <c r="U146" s="205" t="s">
        <v>7102</v>
      </c>
      <c r="V146" s="205">
        <v>1480</v>
      </c>
      <c r="W146" s="97">
        <f t="shared" si="50"/>
        <v>1550.180383561644</v>
      </c>
      <c r="X146" s="32">
        <f t="shared" si="73"/>
        <v>1581.1839912328769</v>
      </c>
      <c r="Y146" s="32">
        <f t="shared" si="74"/>
        <v>1612.1875989041098</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40</v>
      </c>
      <c r="U147" s="205" t="s">
        <v>7104</v>
      </c>
      <c r="V147" s="205">
        <v>1451</v>
      </c>
      <c r="W147" s="97">
        <f t="shared" si="50"/>
        <v>1517.5790356164387</v>
      </c>
      <c r="X147" s="32">
        <f t="shared" si="73"/>
        <v>1547.9306163287674</v>
      </c>
      <c r="Y147" s="32">
        <f t="shared" si="74"/>
        <v>1578.2821970410962</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39</v>
      </c>
      <c r="U148" s="205" t="s">
        <v>7107</v>
      </c>
      <c r="V148" s="205">
        <v>1445</v>
      </c>
      <c r="W148" s="97">
        <f t="shared" si="50"/>
        <v>1510.1952328767125</v>
      </c>
      <c r="X148" s="32">
        <f t="shared" si="73"/>
        <v>1540.3991375342466</v>
      </c>
      <c r="Y148" s="32">
        <f t="shared" si="74"/>
        <v>1570.603042191781</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36</v>
      </c>
      <c r="U149" s="205" t="s">
        <v>7109</v>
      </c>
      <c r="V149" s="205">
        <v>1440</v>
      </c>
      <c r="W149" s="97">
        <f t="shared" si="50"/>
        <v>1501.6556712328768</v>
      </c>
      <c r="X149" s="32">
        <f t="shared" si="73"/>
        <v>1531.6887846575344</v>
      </c>
      <c r="Y149" s="32">
        <f t="shared" si="74"/>
        <v>1561.721898082192</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35</v>
      </c>
      <c r="U150" s="205" t="s">
        <v>7112</v>
      </c>
      <c r="V150" s="205">
        <v>1388</v>
      </c>
      <c r="W150" s="97">
        <f t="shared" si="50"/>
        <v>1446.3644493150687</v>
      </c>
      <c r="X150" s="32">
        <f t="shared" si="73"/>
        <v>1475.2917383013701</v>
      </c>
      <c r="Y150" s="32">
        <f t="shared" si="74"/>
        <v>1504.2190272876715</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28</v>
      </c>
      <c r="U151" s="205" t="s">
        <v>7119</v>
      </c>
      <c r="V151" s="205">
        <v>1360</v>
      </c>
      <c r="W151" s="97">
        <f t="shared" si="50"/>
        <v>1409.8840547945206</v>
      </c>
      <c r="X151" s="32">
        <f t="shared" ref="X151:X161" si="76">W151*(1+$X$19/100)</f>
        <v>1438.081735890411</v>
      </c>
      <c r="Y151" s="32">
        <f t="shared" ref="Y151:Y161" si="77">W151*(1+$Y$19/100)</f>
        <v>1466.2794169863014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7121</v>
      </c>
      <c r="T152" s="205">
        <f>T117-1213</f>
        <v>26</v>
      </c>
      <c r="U152" s="205" t="s">
        <v>7125</v>
      </c>
      <c r="V152" s="205">
        <v>1268</v>
      </c>
      <c r="W152" s="97">
        <f t="shared" si="50"/>
        <v>1312.5641205479453</v>
      </c>
      <c r="X152" s="32">
        <f t="shared" si="76"/>
        <v>1338.8154029589043</v>
      </c>
      <c r="Y152" s="32">
        <f t="shared" si="77"/>
        <v>1365.0666853698631</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7123</v>
      </c>
      <c r="T153" s="205">
        <f>T117-1214</f>
        <v>25</v>
      </c>
      <c r="U153" s="205" t="s">
        <v>7128</v>
      </c>
      <c r="V153" s="205">
        <v>1255</v>
      </c>
      <c r="W153" s="97">
        <f t="shared" si="50"/>
        <v>1298.1444931506851</v>
      </c>
      <c r="X153" s="32">
        <f t="shared" si="76"/>
        <v>1324.1073830136988</v>
      </c>
      <c r="Y153" s="32">
        <f t="shared" si="77"/>
        <v>1350.0702728767126</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7133</v>
      </c>
      <c r="T154" s="205">
        <f>T117-1219</f>
        <v>20</v>
      </c>
      <c r="U154" s="205" t="s">
        <v>7141</v>
      </c>
      <c r="V154" s="205">
        <v>1218</v>
      </c>
      <c r="W154" s="97">
        <f t="shared" si="50"/>
        <v>1255.2007232876713</v>
      </c>
      <c r="X154" s="32">
        <f t="shared" si="76"/>
        <v>1280.3047377534247</v>
      </c>
      <c r="Y154" s="32">
        <f t="shared" si="77"/>
        <v>1305.4087522191783</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7142</v>
      </c>
      <c r="T155" s="205">
        <f>T117-1233</f>
        <v>6</v>
      </c>
      <c r="U155" s="205" t="s">
        <v>7144</v>
      </c>
      <c r="V155" s="205">
        <v>1293</v>
      </c>
      <c r="W155" s="97">
        <f t="shared" si="50"/>
        <v>1318.6049424657535</v>
      </c>
      <c r="X155" s="32">
        <f t="shared" si="76"/>
        <v>1344.9770413150686</v>
      </c>
      <c r="Y155" s="32">
        <f t="shared" si="77"/>
        <v>1371.3491401643837</v>
      </c>
      <c r="Z155" s="494">
        <v>116424</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t="s">
        <v>7143</v>
      </c>
      <c r="T156" s="205">
        <f>T117-1239</f>
        <v>0</v>
      </c>
      <c r="U156" s="205" t="s">
        <v>7145</v>
      </c>
      <c r="V156" s="205">
        <v>1299</v>
      </c>
      <c r="W156" s="97">
        <f t="shared" si="50"/>
        <v>1318.7448000000002</v>
      </c>
      <c r="X156" s="32">
        <f t="shared" si="76"/>
        <v>1345.1196960000002</v>
      </c>
      <c r="Y156" s="32">
        <f t="shared" si="77"/>
        <v>1371.4945920000002</v>
      </c>
      <c r="Z156" s="495">
        <v>853</v>
      </c>
      <c r="AA156" s="495"/>
      <c r="AB156" s="495"/>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t="s">
        <v>7151</v>
      </c>
      <c r="T157" s="205">
        <f>T117-1252</f>
        <v>-13</v>
      </c>
      <c r="U157" s="205" t="s">
        <v>7152</v>
      </c>
      <c r="V157" s="205">
        <v>1275</v>
      </c>
      <c r="W157" s="97">
        <f t="shared" si="50"/>
        <v>1281.6649315068494</v>
      </c>
      <c r="X157" s="32">
        <f t="shared" si="76"/>
        <v>1307.2982301369864</v>
      </c>
      <c r="Y157" s="32">
        <f t="shared" si="77"/>
        <v>1332.9315287671234</v>
      </c>
      <c r="Z157" s="495">
        <v>64</v>
      </c>
      <c r="AA157" s="495"/>
      <c r="AB157" s="495"/>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5"/>
      <c r="AA158" s="495"/>
      <c r="AB158" s="495"/>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c r="U159" s="205"/>
      <c r="V159" s="205"/>
      <c r="W159" s="97"/>
      <c r="X159" s="32"/>
      <c r="Y159" s="32"/>
      <c r="Z159" s="494"/>
      <c r="AA159" s="494"/>
      <c r="AB159" s="494"/>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205"/>
      <c r="T160" s="205" t="s">
        <v>25</v>
      </c>
      <c r="U160" s="205" t="s">
        <v>25</v>
      </c>
      <c r="V160" s="205"/>
      <c r="W160" s="97" t="e">
        <f>V160*(1+$S$113+$R$15*T160/36500)</f>
        <v>#VALUE!</v>
      </c>
      <c r="X160" s="32" t="e">
        <f t="shared" si="76"/>
        <v>#VALUE!</v>
      </c>
      <c r="Y160" s="32" t="e">
        <f t="shared" si="77"/>
        <v>#VALUE!</v>
      </c>
      <c r="Z160" s="94"/>
      <c r="AA160" s="94" t="s">
        <v>25</v>
      </c>
      <c r="AB160" s="350"/>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67"/>
      <c r="S161" s="166"/>
      <c r="T161" s="166"/>
      <c r="U161" s="166" t="s">
        <v>25</v>
      </c>
      <c r="V161" s="166"/>
      <c r="W161" s="97">
        <f>V161*(1+$S$113+$R$15*T161/36500)</f>
        <v>0</v>
      </c>
      <c r="X161" s="32">
        <f t="shared" si="76"/>
        <v>0</v>
      </c>
      <c r="Y161" s="32">
        <f t="shared" si="77"/>
        <v>0</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111">
        <f>SUM(N52:N56)-SUM(R117:R161)</f>
        <v>-1877717018.63133</v>
      </c>
      <c r="S162" s="110"/>
      <c r="T162" s="110"/>
      <c r="U162" s="110"/>
      <c r="V162" s="166"/>
      <c r="W162" s="97" t="s">
        <v>25</v>
      </c>
      <c r="X162" s="32"/>
      <c r="Y162" s="32"/>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s="26"/>
      <c r="S163" s="179"/>
      <c r="T163" s="179"/>
      <c r="U163" t="s">
        <v>25</v>
      </c>
      <c r="V163" s="94" t="s">
        <v>25</v>
      </c>
      <c r="W163" s="94" t="s">
        <v>25</v>
      </c>
      <c r="X163" s="94"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t="s">
        <v>4511</v>
      </c>
      <c r="T164" s="32" t="s">
        <v>933</v>
      </c>
      <c r="U164" t="s">
        <v>25</v>
      </c>
      <c r="V164" s="94" t="s">
        <v>25</v>
      </c>
      <c r="W164" s="94" t="s">
        <v>25</v>
      </c>
      <c r="X164" s="94" t="s">
        <v>25</v>
      </c>
      <c r="Y164" s="120" t="s">
        <v>25</v>
      </c>
      <c r="Z164" t="s">
        <v>25</v>
      </c>
      <c r="AA164" t="s">
        <v>25</v>
      </c>
      <c r="AB164" s="9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v>33288</v>
      </c>
      <c r="T165" s="167">
        <v>152128600.70081395</v>
      </c>
      <c r="U165"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t="s">
        <v>25</v>
      </c>
      <c r="S166" s="32">
        <v>9243</v>
      </c>
      <c r="T166" s="1">
        <f>T165*S166/S165</f>
        <v>42241187.7036056</v>
      </c>
      <c r="U166" s="112" t="s">
        <v>25</v>
      </c>
      <c r="V166" s="94" t="s">
        <v>25</v>
      </c>
      <c r="W166" s="120" t="s">
        <v>25</v>
      </c>
      <c r="X166" s="94"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S167" s="32">
        <f>S165-S166</f>
        <v>24045</v>
      </c>
      <c r="T167" s="1">
        <f>S167*T165/S165</f>
        <v>109887412.99720834</v>
      </c>
      <c r="U167" t="s">
        <v>25</v>
      </c>
      <c r="V167" s="120" t="s">
        <v>25</v>
      </c>
      <c r="W167" s="94"/>
      <c r="X167" s="120" t="s">
        <v>25</v>
      </c>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U168" t="s">
        <v>25</v>
      </c>
      <c r="W168" s="94"/>
      <c r="X168"/>
      <c r="Y168" t="s">
        <v>25</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t="s">
        <v>25</v>
      </c>
      <c r="S169" s="94"/>
      <c r="T169" s="94"/>
      <c r="U169" s="94"/>
      <c r="V169" s="277" t="s">
        <v>4405</v>
      </c>
      <c r="W169" s="277" t="s">
        <v>4418</v>
      </c>
      <c r="X169" s="277" t="s">
        <v>4419</v>
      </c>
      <c r="Y169" t="s">
        <v>25</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s="94"/>
      <c r="S170" s="94"/>
      <c r="T170" s="94"/>
      <c r="U170" s="120">
        <f>W171-W176</f>
        <v>2712191</v>
      </c>
      <c r="V170" s="277" t="s">
        <v>743</v>
      </c>
      <c r="W170" s="277">
        <v>1495942</v>
      </c>
      <c r="X170" s="88">
        <f>W170*$U$559</f>
        <v>3457169212.197576</v>
      </c>
      <c r="Y170">
        <f>X170*100/$X$176</f>
        <v>33.851696214504976</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120"/>
      <c r="V171" s="277" t="s">
        <v>4407</v>
      </c>
      <c r="W171" s="277">
        <v>2712191</v>
      </c>
      <c r="X171" s="88">
        <f>W171*$U$559</f>
        <v>6267959067.129178</v>
      </c>
      <c r="Y171" s="94">
        <f>X171*100/$X$176</f>
        <v>61.3742149145585</v>
      </c>
      <c r="Z171" t="s">
        <v>25</v>
      </c>
      <c r="AA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f>W170+2857</f>
        <v>1498799</v>
      </c>
      <c r="V172" s="277" t="s">
        <v>4406</v>
      </c>
      <c r="W172" s="277">
        <v>48659</v>
      </c>
      <c r="X172" s="88">
        <f>W172*$U$559</f>
        <v>112452485.92279771</v>
      </c>
      <c r="Y172" s="94">
        <f>X172*100/$X$176</f>
        <v>1.101105314311382</v>
      </c>
      <c r="Z172" t="s">
        <v>25</v>
      </c>
      <c r="AB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U173" s="94"/>
      <c r="V173" s="277" t="s">
        <v>1069</v>
      </c>
      <c r="W173" s="277">
        <v>162313</v>
      </c>
      <c r="X173" s="88">
        <f>W173*$U$559</f>
        <v>375110469.75044835</v>
      </c>
      <c r="Y173" s="94">
        <f>X173*100/$X$176</f>
        <v>3.6729835566251543</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U174" s="94">
        <f>W173+2977</f>
        <v>165290</v>
      </c>
      <c r="V174" s="277"/>
      <c r="W174" s="277"/>
      <c r="X174" s="277"/>
      <c r="Y174" s="113"/>
      <c r="Z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t="s">
        <v>25</v>
      </c>
      <c r="T175" t="s">
        <v>25</v>
      </c>
      <c r="U175" s="94"/>
      <c r="V175" s="87"/>
      <c r="W175" s="87">
        <f>SUM(W170:W173)</f>
        <v>4419105</v>
      </c>
      <c r="X175" s="87"/>
      <c r="Y175" s="112" t="s">
        <v>25</v>
      </c>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t="s">
        <v>25</v>
      </c>
      <c r="V176" s="87"/>
      <c r="W176" s="87">
        <f>W175-V556</f>
        <v>0</v>
      </c>
      <c r="X176" s="140">
        <f>SUM(X170:X173)</f>
        <v>10212691235</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t="s">
        <v>25</v>
      </c>
      <c r="V177" s="87"/>
      <c r="W177" s="87" t="s">
        <v>5806</v>
      </c>
      <c r="X177" s="140">
        <f>S188-X173</f>
        <v>68415230.249551654</v>
      </c>
      <c r="Y177" s="94"/>
      <c r="Z177" t="s">
        <v>25</v>
      </c>
      <c r="AA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c r="U178" s="94" t="s">
        <v>25</v>
      </c>
      <c r="V178" s="87"/>
      <c r="W178" s="87" t="s">
        <v>5805</v>
      </c>
      <c r="X178" s="140">
        <f>X172-X177</f>
        <v>44037255.673246056</v>
      </c>
      <c r="Y178" s="94"/>
      <c r="AA178" t="s">
        <v>25</v>
      </c>
      <c r="AB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t="s">
        <v>25</v>
      </c>
      <c r="S179" s="94"/>
      <c r="T179" s="94" t="s">
        <v>25</v>
      </c>
      <c r="U179" s="94"/>
      <c r="V179" s="87"/>
      <c r="W179" s="87" t="s">
        <v>4912</v>
      </c>
      <c r="X179" s="140">
        <f>X170+X178-S187</f>
        <v>-62807120.129178047</v>
      </c>
      <c r="Y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V180" s="87"/>
      <c r="W180" s="87"/>
      <c r="X180" s="140"/>
      <c r="Y180" s="113"/>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c r="W181" s="94"/>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4" t="s">
        <v>25</v>
      </c>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T183" s="94" t="s">
        <v>25</v>
      </c>
      <c r="U183" s="94"/>
      <c r="W183" s="94"/>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97" t="s">
        <v>180</v>
      </c>
      <c r="V184" s="97" t="s">
        <v>4431</v>
      </c>
      <c r="W184" s="97" t="s">
        <v>4432</v>
      </c>
      <c r="X184" s="97" t="s">
        <v>4442</v>
      </c>
      <c r="Y184" s="97" t="s">
        <v>8</v>
      </c>
      <c r="Z184" t="s">
        <v>25</v>
      </c>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94"/>
      <c r="S185" s="94"/>
      <c r="T185" s="94"/>
      <c r="U185" s="111" t="s">
        <v>4417</v>
      </c>
      <c r="V185" s="54">
        <v>1000000</v>
      </c>
      <c r="W185" s="111">
        <v>239.024</v>
      </c>
      <c r="X185" s="111">
        <f t="shared" ref="X185:X286" si="82">V185*W185</f>
        <v>239024000</v>
      </c>
      <c r="Y185" s="97"/>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36" t="s">
        <v>4510</v>
      </c>
      <c r="S186" s="93">
        <f>SUM(N48:N57)</f>
        <v>6216473232</v>
      </c>
      <c r="U186" s="166" t="s">
        <v>4399</v>
      </c>
      <c r="V186" s="54">
        <v>5904</v>
      </c>
      <c r="W186" s="111">
        <v>237.148</v>
      </c>
      <c r="X186" s="111">
        <f t="shared" si="82"/>
        <v>1400121.7919999999</v>
      </c>
      <c r="Y186" s="97" t="s">
        <v>743</v>
      </c>
      <c r="AA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4408</v>
      </c>
      <c r="S187" s="93">
        <f>SUM(N27:N32)</f>
        <v>3564013588</v>
      </c>
      <c r="U187" s="166" t="s">
        <v>4205</v>
      </c>
      <c r="V187" s="166">
        <v>1000</v>
      </c>
      <c r="W187" s="111">
        <v>247.393</v>
      </c>
      <c r="X187" s="111">
        <f t="shared" si="82"/>
        <v>247393</v>
      </c>
      <c r="Y187" s="97" t="s">
        <v>743</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4409</v>
      </c>
      <c r="S188" s="93">
        <f>SUM(N35:N36)</f>
        <v>443525700</v>
      </c>
      <c r="U188" s="378" t="s">
        <v>4443</v>
      </c>
      <c r="V188" s="378">
        <v>8071</v>
      </c>
      <c r="W188" s="90">
        <v>247.797</v>
      </c>
      <c r="X188" s="90">
        <f t="shared" si="82"/>
        <v>1999969.5870000001</v>
      </c>
      <c r="Y188" s="89" t="s">
        <v>4406</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4410</v>
      </c>
      <c r="S189" s="93">
        <f>N47</f>
        <v>147</v>
      </c>
      <c r="U189" s="166" t="s">
        <v>4443</v>
      </c>
      <c r="V189" s="166">
        <v>53672</v>
      </c>
      <c r="W189" s="111">
        <v>247.797</v>
      </c>
      <c r="X189" s="111">
        <f t="shared" si="82"/>
        <v>13299760.584000001</v>
      </c>
      <c r="Y189" s="97" t="s">
        <v>452</v>
      </c>
      <c r="Z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4411</v>
      </c>
      <c r="S190" s="93">
        <f>N26</f>
        <v>275</v>
      </c>
      <c r="U190" s="378" t="s">
        <v>4451</v>
      </c>
      <c r="V190" s="378">
        <v>4099</v>
      </c>
      <c r="W190" s="90">
        <v>243.93</v>
      </c>
      <c r="X190" s="90">
        <f t="shared" si="82"/>
        <v>999869.07000000007</v>
      </c>
      <c r="Y190" s="89" t="s">
        <v>4406</v>
      </c>
      <c r="AB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t="s">
        <v>4412</v>
      </c>
      <c r="S191" s="93">
        <f>N34</f>
        <v>169</v>
      </c>
      <c r="U191" s="166" t="s">
        <v>4451</v>
      </c>
      <c r="V191" s="166">
        <v>9301</v>
      </c>
      <c r="W191" s="111">
        <v>243.93</v>
      </c>
      <c r="X191" s="111">
        <f t="shared" si="82"/>
        <v>2268792.9300000002</v>
      </c>
      <c r="Y191" s="97" t="s">
        <v>452</v>
      </c>
      <c r="AA191"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c r="S192" s="93"/>
      <c r="T192" t="s">
        <v>25</v>
      </c>
      <c r="U192" s="378" t="s">
        <v>4455</v>
      </c>
      <c r="V192" s="378">
        <v>8334</v>
      </c>
      <c r="W192" s="90">
        <v>239.97</v>
      </c>
      <c r="X192" s="90">
        <f t="shared" si="82"/>
        <v>1999909.98</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5043</v>
      </c>
      <c r="S193" s="93">
        <v>0</v>
      </c>
      <c r="U193" s="166" t="s">
        <v>4204</v>
      </c>
      <c r="V193" s="166">
        <v>29041</v>
      </c>
      <c r="W193" s="111">
        <v>233.45</v>
      </c>
      <c r="X193" s="111">
        <f t="shared" si="82"/>
        <v>6779621.4499999993</v>
      </c>
      <c r="Y193" s="97" t="s">
        <v>743</v>
      </c>
      <c r="Z193" s="120"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7075</v>
      </c>
      <c r="S194" s="93">
        <v>-95680</v>
      </c>
      <c r="T194" s="94"/>
      <c r="U194" s="378" t="s">
        <v>977</v>
      </c>
      <c r="V194" s="378">
        <v>12337</v>
      </c>
      <c r="W194" s="90">
        <v>243.16300000000001</v>
      </c>
      <c r="X194" s="90">
        <f t="shared" si="82"/>
        <v>2999901.9310000003</v>
      </c>
      <c r="Y194" s="89" t="s">
        <v>4406</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7097</v>
      </c>
      <c r="S195" s="93">
        <f>-(8479*P48)</f>
        <v>-11226196</v>
      </c>
      <c r="T195" s="94"/>
      <c r="U195" s="166" t="s">
        <v>4528</v>
      </c>
      <c r="V195" s="166">
        <v>-16118</v>
      </c>
      <c r="W195" s="111">
        <v>248.17</v>
      </c>
      <c r="X195" s="111">
        <f t="shared" si="82"/>
        <v>-4000004.0599999996</v>
      </c>
      <c r="Y195" s="97" t="s">
        <v>743</v>
      </c>
      <c r="Z195" t="s">
        <v>25</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36"/>
      <c r="S196" s="93"/>
      <c r="T196" s="113" t="s">
        <v>25</v>
      </c>
      <c r="U196" s="166" t="s">
        <v>4549</v>
      </c>
      <c r="V196" s="166">
        <v>101681</v>
      </c>
      <c r="W196" s="111">
        <v>246.5711</v>
      </c>
      <c r="X196" s="111">
        <f t="shared" si="82"/>
        <v>25071596.019099999</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20" t="s">
        <v>25</v>
      </c>
      <c r="U197" s="166" t="s">
        <v>4553</v>
      </c>
      <c r="V197" s="166">
        <v>66606</v>
      </c>
      <c r="W197" s="111">
        <v>251.131</v>
      </c>
      <c r="X197" s="111">
        <f t="shared" si="82"/>
        <v>16726831.386</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5044</v>
      </c>
      <c r="S198" s="93">
        <v>0</v>
      </c>
      <c r="T198" s="120"/>
      <c r="U198" s="166" t="s">
        <v>4558</v>
      </c>
      <c r="V198" s="166">
        <v>172025</v>
      </c>
      <c r="W198" s="111">
        <v>245.52809999999999</v>
      </c>
      <c r="X198" s="111">
        <f t="shared" si="82"/>
        <v>42236971.402499996</v>
      </c>
      <c r="Y198" s="97" t="s">
        <v>452</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4558</v>
      </c>
      <c r="V199" s="166">
        <v>189227</v>
      </c>
      <c r="W199" s="111">
        <v>245.52809999999999</v>
      </c>
      <c r="X199" s="111">
        <f t="shared" si="82"/>
        <v>46460545.778700002</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c r="S200" s="93"/>
      <c r="T200" s="113"/>
      <c r="U200" s="166" t="s">
        <v>4559</v>
      </c>
      <c r="V200" s="166">
        <v>79720</v>
      </c>
      <c r="W200" s="111">
        <v>246.6568</v>
      </c>
      <c r="X200" s="111">
        <f t="shared" si="82"/>
        <v>19663480.096000001</v>
      </c>
      <c r="Y200" s="97" t="s">
        <v>452</v>
      </c>
      <c r="Z200" s="8" t="s">
        <v>25</v>
      </c>
      <c r="AA200" t="s">
        <v>25</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7" t="s">
        <v>4416</v>
      </c>
      <c r="S201" s="93">
        <f>SUM(S186:S200)</f>
        <v>10212691235</v>
      </c>
      <c r="U201" s="166" t="s">
        <v>4559</v>
      </c>
      <c r="V201" s="166">
        <v>79720</v>
      </c>
      <c r="W201" s="111">
        <v>246.6568</v>
      </c>
      <c r="X201" s="111">
        <f t="shared" si="82"/>
        <v>19663480.096000001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94"/>
      <c r="U202" s="166" t="s">
        <v>4580</v>
      </c>
      <c r="V202" s="166">
        <v>17769</v>
      </c>
      <c r="W202" s="111">
        <v>246.17877999999999</v>
      </c>
      <c r="X202" s="111">
        <f t="shared" si="82"/>
        <v>4374350.7418200001</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U203" s="166" t="s">
        <v>4580</v>
      </c>
      <c r="V203" s="166">
        <v>17769</v>
      </c>
      <c r="W203" s="111">
        <v>246.17877999999999</v>
      </c>
      <c r="X203" s="111">
        <f t="shared" si="82"/>
        <v>4374350.7418200001</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t="s">
        <v>8</v>
      </c>
      <c r="S204" s="205" t="s">
        <v>4406</v>
      </c>
      <c r="T204" s="205"/>
      <c r="U204" s="378" t="s">
        <v>4582</v>
      </c>
      <c r="V204" s="378">
        <v>12438</v>
      </c>
      <c r="W204" s="90">
        <v>241.20465999999999</v>
      </c>
      <c r="X204" s="90">
        <f t="shared" si="82"/>
        <v>3000103.5610799999</v>
      </c>
      <c r="Y204" s="89" t="s">
        <v>4406</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71" t="s">
        <v>180</v>
      </c>
      <c r="T205" s="205" t="s">
        <v>267</v>
      </c>
      <c r="U205" s="166" t="s">
        <v>4591</v>
      </c>
      <c r="V205" s="166">
        <v>27363</v>
      </c>
      <c r="W205" s="111">
        <v>239.3886</v>
      </c>
      <c r="X205" s="111">
        <f t="shared" si="82"/>
        <v>6550390.2617999995</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4399</v>
      </c>
      <c r="T206" s="111">
        <v>3000000</v>
      </c>
      <c r="U206" s="166" t="s">
        <v>4591</v>
      </c>
      <c r="V206" s="166">
        <v>27363</v>
      </c>
      <c r="W206" s="111">
        <v>239.3886</v>
      </c>
      <c r="X206" s="111">
        <f t="shared" si="82"/>
        <v>6550390.2617999995</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4443</v>
      </c>
      <c r="T207" s="111">
        <v>2000000</v>
      </c>
      <c r="U207" s="203" t="s">
        <v>4593</v>
      </c>
      <c r="V207" s="203">
        <v>27437</v>
      </c>
      <c r="W207" s="111">
        <v>242.4015</v>
      </c>
      <c r="X207" s="111">
        <f t="shared" si="82"/>
        <v>6650769.9555000002</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4451</v>
      </c>
      <c r="T208" s="111">
        <v>1000000</v>
      </c>
      <c r="U208" s="203" t="s">
        <v>4593</v>
      </c>
      <c r="V208" s="203">
        <v>29104</v>
      </c>
      <c r="W208" s="111">
        <v>242.4015</v>
      </c>
      <c r="X208" s="111">
        <f t="shared" si="82"/>
        <v>7054853.2560000001</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4455</v>
      </c>
      <c r="T209" s="111">
        <v>2000000</v>
      </c>
      <c r="U209" s="205" t="s">
        <v>4606</v>
      </c>
      <c r="V209" s="205">
        <v>8991</v>
      </c>
      <c r="W209" s="111">
        <v>238.64867000000001</v>
      </c>
      <c r="X209" s="111">
        <f t="shared" si="82"/>
        <v>2145690.19197</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977</v>
      </c>
      <c r="T210" s="111">
        <v>3000000</v>
      </c>
      <c r="U210" s="205" t="s">
        <v>4606</v>
      </c>
      <c r="V210" s="205">
        <v>8991</v>
      </c>
      <c r="W210" s="111">
        <v>238.64867000000001</v>
      </c>
      <c r="X210" s="111">
        <f t="shared" si="82"/>
        <v>2145690.19197</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c r="S211" s="205" t="s">
        <v>4582</v>
      </c>
      <c r="T211" s="111">
        <v>3000000</v>
      </c>
      <c r="U211" s="205" t="s">
        <v>4617</v>
      </c>
      <c r="V211" s="205">
        <v>18170</v>
      </c>
      <c r="W211" s="111">
        <v>240.48475999999999</v>
      </c>
      <c r="X211" s="111">
        <f t="shared" si="82"/>
        <v>4369608.0892000003</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4743</v>
      </c>
      <c r="S212" s="205" t="s">
        <v>4738</v>
      </c>
      <c r="T212" s="111">
        <v>-800000</v>
      </c>
      <c r="U212" s="205" t="s">
        <v>4617</v>
      </c>
      <c r="V212" s="205">
        <v>18170</v>
      </c>
      <c r="W212" s="111">
        <v>240.48475999999999</v>
      </c>
      <c r="X212" s="111">
        <f t="shared" si="82"/>
        <v>4369608.0892000003</v>
      </c>
      <c r="Y212" s="97" t="s">
        <v>452</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4738</v>
      </c>
      <c r="T213" s="111">
        <v>-900000</v>
      </c>
      <c r="U213" s="205" t="s">
        <v>4619</v>
      </c>
      <c r="V213" s="205">
        <v>36797</v>
      </c>
      <c r="W213" s="111">
        <v>239.0822</v>
      </c>
      <c r="X213" s="111">
        <f t="shared" si="82"/>
        <v>8797507.7134000007</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205" t="s">
        <v>4744</v>
      </c>
      <c r="S214" s="205" t="s">
        <v>964</v>
      </c>
      <c r="T214" s="111">
        <v>-1100000</v>
      </c>
      <c r="U214" s="205" t="s">
        <v>4619</v>
      </c>
      <c r="V214" s="205">
        <v>36797</v>
      </c>
      <c r="W214" s="111">
        <v>239.0822</v>
      </c>
      <c r="X214" s="111">
        <f t="shared" si="82"/>
        <v>8797507.7134000007</v>
      </c>
      <c r="Y214" s="97" t="s">
        <v>452</v>
      </c>
      <c r="AA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8" t="s">
        <v>1069</v>
      </c>
      <c r="S215" s="188" t="s">
        <v>4766</v>
      </c>
      <c r="T215" s="192">
        <v>30000000</v>
      </c>
      <c r="U215" s="205" t="s">
        <v>4628</v>
      </c>
      <c r="V215" s="205">
        <v>28066</v>
      </c>
      <c r="W215" s="111">
        <v>237.56970000000001</v>
      </c>
      <c r="X215" s="111">
        <f t="shared" si="82"/>
        <v>6667631.2002000008</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4841</v>
      </c>
      <c r="S216" s="19" t="s">
        <v>4839</v>
      </c>
      <c r="T216" s="115">
        <v>2000000</v>
      </c>
      <c r="U216" s="205" t="s">
        <v>4628</v>
      </c>
      <c r="V216" s="205">
        <v>28066</v>
      </c>
      <c r="W216" s="111">
        <v>237.56970000000001</v>
      </c>
      <c r="X216" s="111">
        <f t="shared" si="82"/>
        <v>6667631.2002000008</v>
      </c>
      <c r="Y216" s="97" t="s">
        <v>452</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4862</v>
      </c>
      <c r="S217" s="187" t="s">
        <v>4861</v>
      </c>
      <c r="T217" s="186">
        <v>480105</v>
      </c>
      <c r="U217" s="205" t="s">
        <v>3666</v>
      </c>
      <c r="V217" s="205">
        <v>37457</v>
      </c>
      <c r="W217" s="111">
        <v>239.77</v>
      </c>
      <c r="X217" s="111">
        <f t="shared" si="82"/>
        <v>8981064.8900000006</v>
      </c>
      <c r="Y217" s="97" t="s">
        <v>743</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c r="S218" s="187" t="s">
        <v>4902</v>
      </c>
      <c r="T218" s="186">
        <v>30500000</v>
      </c>
      <c r="U218" s="205" t="s">
        <v>3666</v>
      </c>
      <c r="V218" s="205">
        <v>37457</v>
      </c>
      <c r="W218" s="111">
        <v>239.77</v>
      </c>
      <c r="X218" s="111">
        <f t="shared" si="82"/>
        <v>8981064.8900000006</v>
      </c>
      <c r="Y218" s="97" t="s">
        <v>452</v>
      </c>
      <c r="Z218" s="94"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4925</v>
      </c>
      <c r="T219" s="115">
        <v>-400000</v>
      </c>
      <c r="U219" s="205" t="s">
        <v>4640</v>
      </c>
      <c r="V219" s="205">
        <v>38412</v>
      </c>
      <c r="W219" s="111">
        <v>239.03</v>
      </c>
      <c r="X219" s="111">
        <f t="shared" si="82"/>
        <v>9181620.3599999994</v>
      </c>
      <c r="Y219" s="97" t="s">
        <v>743</v>
      </c>
      <c r="Z219" t="s">
        <v>25</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5039</v>
      </c>
      <c r="S220" s="187" t="s">
        <v>4960</v>
      </c>
      <c r="T220" s="186">
        <v>-349550</v>
      </c>
      <c r="U220" s="205" t="s">
        <v>4640</v>
      </c>
      <c r="V220" s="205">
        <v>38412</v>
      </c>
      <c r="W220" s="111">
        <v>239.03</v>
      </c>
      <c r="X220" s="111">
        <f t="shared" si="82"/>
        <v>9181620.3599999994</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5100</v>
      </c>
      <c r="T221" s="115">
        <v>-200000</v>
      </c>
      <c r="U221" s="205" t="s">
        <v>4643</v>
      </c>
      <c r="V221" s="205">
        <v>49555</v>
      </c>
      <c r="W221" s="111">
        <v>238.345</v>
      </c>
      <c r="X221" s="111">
        <f t="shared" si="82"/>
        <v>11811186.475</v>
      </c>
      <c r="Y221" s="97" t="s">
        <v>743</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5132</v>
      </c>
      <c r="T222" s="115">
        <v>-122000</v>
      </c>
      <c r="U222" s="205" t="s">
        <v>4643</v>
      </c>
      <c r="V222" s="205">
        <v>49555</v>
      </c>
      <c r="W222" s="111">
        <v>238.345</v>
      </c>
      <c r="X222" s="111">
        <f t="shared" si="82"/>
        <v>11811186.475</v>
      </c>
      <c r="Y222" s="97" t="s">
        <v>452</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5140</v>
      </c>
      <c r="T223" s="115">
        <v>-700000</v>
      </c>
      <c r="U223" s="205" t="s">
        <v>4655</v>
      </c>
      <c r="V223" s="205">
        <v>160187</v>
      </c>
      <c r="W223" s="111">
        <v>257.49799999999999</v>
      </c>
      <c r="X223" s="111">
        <f t="shared" si="82"/>
        <v>41247832.126000002</v>
      </c>
      <c r="Y223" s="97" t="s">
        <v>743</v>
      </c>
      <c r="Z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4930</v>
      </c>
      <c r="S224" s="19" t="s">
        <v>5150</v>
      </c>
      <c r="T224" s="115">
        <v>-60000</v>
      </c>
      <c r="U224" s="205" t="s">
        <v>4655</v>
      </c>
      <c r="V224" s="205">
        <v>160187</v>
      </c>
      <c r="W224" s="111">
        <v>257.49799999999999</v>
      </c>
      <c r="X224" s="111">
        <f t="shared" si="82"/>
        <v>41247832.126000002</v>
      </c>
      <c r="Y224" s="97" t="s">
        <v>452</v>
      </c>
      <c r="AB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5209</v>
      </c>
      <c r="T225" s="115">
        <v>700000</v>
      </c>
      <c r="U225" s="205" t="s">
        <v>4662</v>
      </c>
      <c r="V225" s="205">
        <v>144401</v>
      </c>
      <c r="W225" s="111">
        <v>258.5061</v>
      </c>
      <c r="X225" s="111">
        <f t="shared" si="82"/>
        <v>37328539.346100003</v>
      </c>
      <c r="Y225" s="97" t="s">
        <v>743</v>
      </c>
      <c r="AA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1069</v>
      </c>
      <c r="S226" s="187" t="s">
        <v>5228</v>
      </c>
      <c r="T226" s="186">
        <v>40000000</v>
      </c>
      <c r="U226" s="205" t="s">
        <v>4662</v>
      </c>
      <c r="V226" s="205">
        <v>144401</v>
      </c>
      <c r="W226" s="111">
        <v>258.5061</v>
      </c>
      <c r="X226" s="111">
        <f t="shared" si="82"/>
        <v>37328539.346100003</v>
      </c>
      <c r="Y226" s="97" t="s">
        <v>452</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9" t="s">
        <v>4406</v>
      </c>
      <c r="S227" s="19" t="s">
        <v>5232</v>
      </c>
      <c r="T227" s="115">
        <v>-800000</v>
      </c>
      <c r="U227" s="166" t="s">
        <v>4668</v>
      </c>
      <c r="V227" s="166">
        <v>196500</v>
      </c>
      <c r="W227" s="111">
        <v>254.452</v>
      </c>
      <c r="X227" s="111">
        <f t="shared" si="82"/>
        <v>49999818</v>
      </c>
      <c r="Y227" s="97" t="s">
        <v>4670</v>
      </c>
      <c r="Z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205" t="s">
        <v>4406</v>
      </c>
      <c r="S228" s="205" t="s">
        <v>5314</v>
      </c>
      <c r="T228" s="115">
        <v>700000</v>
      </c>
      <c r="U228" s="205" t="s">
        <v>4668</v>
      </c>
      <c r="V228" s="205">
        <v>2561</v>
      </c>
      <c r="W228" s="111">
        <v>254.536</v>
      </c>
      <c r="X228" s="111">
        <f t="shared" si="82"/>
        <v>651866.696</v>
      </c>
      <c r="Y228" s="97" t="s">
        <v>4671</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5328</v>
      </c>
      <c r="T229" s="186">
        <v>-26000000</v>
      </c>
      <c r="U229" s="205" t="s">
        <v>4710</v>
      </c>
      <c r="V229" s="205">
        <v>-11795</v>
      </c>
      <c r="W229" s="111">
        <v>254.334</v>
      </c>
      <c r="X229" s="111">
        <f t="shared" si="82"/>
        <v>-2999869.5300000003</v>
      </c>
      <c r="Y229" s="97" t="s">
        <v>4711</v>
      </c>
      <c r="AB229" t="s">
        <v>25</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5332</v>
      </c>
      <c r="T230" s="186">
        <v>-95900000</v>
      </c>
      <c r="U230" s="205" t="s">
        <v>4710</v>
      </c>
      <c r="V230" s="205">
        <v>11795</v>
      </c>
      <c r="W230" s="111">
        <v>254.334</v>
      </c>
      <c r="X230" s="111">
        <f t="shared" si="82"/>
        <v>2999869.5300000003</v>
      </c>
      <c r="Y230" s="97" t="s">
        <v>4712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5330</v>
      </c>
      <c r="S231" s="187" t="s">
        <v>5333</v>
      </c>
      <c r="T231" s="186">
        <v>-28950000</v>
      </c>
      <c r="U231" s="205" t="s">
        <v>4724</v>
      </c>
      <c r="V231" s="205">
        <v>260</v>
      </c>
      <c r="W231" s="111">
        <v>263.19</v>
      </c>
      <c r="X231" s="111">
        <f t="shared" si="82"/>
        <v>68429.399999999994</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5349</v>
      </c>
      <c r="S232" s="187" t="s">
        <v>5347</v>
      </c>
      <c r="T232" s="186">
        <v>1896188</v>
      </c>
      <c r="U232" s="205" t="s">
        <v>4733</v>
      </c>
      <c r="V232" s="205">
        <v>15257</v>
      </c>
      <c r="W232" s="111">
        <v>262.19018</v>
      </c>
      <c r="X232" s="111">
        <f t="shared" si="82"/>
        <v>4000235.57626</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5514</v>
      </c>
      <c r="S233" s="187" t="s">
        <v>4209</v>
      </c>
      <c r="T233" s="186">
        <v>13752871.322800001</v>
      </c>
      <c r="U233" s="205" t="s">
        <v>4733</v>
      </c>
      <c r="V233" s="205">
        <v>8444</v>
      </c>
      <c r="W233" s="111">
        <v>266.43029999999999</v>
      </c>
      <c r="X233" s="111">
        <f t="shared" si="82"/>
        <v>2249737.4531999999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5526</v>
      </c>
      <c r="S234" s="19" t="s">
        <v>5523</v>
      </c>
      <c r="T234" s="115">
        <v>3123901.3702000002</v>
      </c>
      <c r="U234" s="378" t="s">
        <v>4738</v>
      </c>
      <c r="V234" s="378">
        <v>-6209</v>
      </c>
      <c r="W234" s="90">
        <v>273.79649999999998</v>
      </c>
      <c r="X234" s="90">
        <f t="shared" si="82"/>
        <v>-1700002.4685</v>
      </c>
      <c r="Y234" s="89" t="s">
        <v>6621</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5851</v>
      </c>
      <c r="S235" s="187" t="s">
        <v>5597</v>
      </c>
      <c r="T235" s="186">
        <v>-322076.40905199997</v>
      </c>
      <c r="U235" s="205" t="s">
        <v>4738</v>
      </c>
      <c r="V235" s="205">
        <v>-8014</v>
      </c>
      <c r="W235" s="111">
        <v>273.79649999999998</v>
      </c>
      <c r="X235" s="111">
        <f t="shared" si="82"/>
        <v>-2194205.1510000001</v>
      </c>
      <c r="Y235" s="97" t="s">
        <v>743</v>
      </c>
      <c r="AI235" s="97">
        <v>215</v>
      </c>
      <c r="AJ235" s="111" t="s">
        <v>5537</v>
      </c>
      <c r="AK235" s="111">
        <v>70000</v>
      </c>
      <c r="AL235" s="97">
        <v>6</v>
      </c>
      <c r="AM235" s="20">
        <f t="shared" si="87"/>
        <v>463</v>
      </c>
      <c r="AN235" s="115">
        <f t="shared" si="88"/>
        <v>32410000</v>
      </c>
      <c r="AO235" s="20"/>
    </row>
    <row r="236" spans="4:46">
      <c r="G236" s="205" t="s">
        <v>5714</v>
      </c>
      <c r="H236" s="111">
        <v>8261456.790906</v>
      </c>
      <c r="R236" s="19" t="s">
        <v>4930</v>
      </c>
      <c r="S236" s="19" t="s">
        <v>5597</v>
      </c>
      <c r="T236" s="115">
        <v>-1500000</v>
      </c>
      <c r="U236" s="205" t="s">
        <v>4747</v>
      </c>
      <c r="V236" s="205">
        <v>-9176</v>
      </c>
      <c r="W236" s="111">
        <v>273.79649999999998</v>
      </c>
      <c r="X236" s="111">
        <f t="shared" si="82"/>
        <v>-2512356.6839999999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5611</v>
      </c>
      <c r="S237" s="187" t="s">
        <v>5597</v>
      </c>
      <c r="T237" s="186">
        <v>15000000</v>
      </c>
      <c r="U237" s="205" t="s">
        <v>4747</v>
      </c>
      <c r="V237" s="205">
        <v>1087</v>
      </c>
      <c r="W237" s="111">
        <v>273.79649999999998</v>
      </c>
      <c r="X237" s="111">
        <f t="shared" si="82"/>
        <v>297616.79550000001</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5626</v>
      </c>
      <c r="S238" s="187" t="s">
        <v>5621</v>
      </c>
      <c r="T238" s="186">
        <v>-1500000</v>
      </c>
      <c r="U238" s="378" t="s">
        <v>964</v>
      </c>
      <c r="V238" s="378">
        <v>-4017</v>
      </c>
      <c r="W238" s="90">
        <v>273.79649999999998</v>
      </c>
      <c r="X238" s="90">
        <f t="shared" si="82"/>
        <v>-1099840.5404999999</v>
      </c>
      <c r="Y238" s="89" t="s">
        <v>4406</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5705</v>
      </c>
      <c r="S239" s="187" t="s">
        <v>5703</v>
      </c>
      <c r="T239" s="186">
        <v>-70000</v>
      </c>
      <c r="U239" s="205" t="s">
        <v>964</v>
      </c>
      <c r="V239" s="205">
        <v>4017</v>
      </c>
      <c r="W239" s="111">
        <v>273.79649999999998</v>
      </c>
      <c r="X239" s="111">
        <f t="shared" si="82"/>
        <v>1099840.5404999999</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5711</v>
      </c>
      <c r="S240" s="187" t="s">
        <v>5709</v>
      </c>
      <c r="T240" s="186">
        <v>1300000</v>
      </c>
      <c r="U240" s="205" t="s">
        <v>4753</v>
      </c>
      <c r="V240" s="205">
        <v>3137</v>
      </c>
      <c r="W240" s="111">
        <v>283.69110000000001</v>
      </c>
      <c r="X240" s="111">
        <f t="shared" si="82"/>
        <v>889938.98070000007</v>
      </c>
      <c r="Y240" s="97" t="s">
        <v>452</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60</v>
      </c>
      <c r="S241" s="187" t="s">
        <v>5717</v>
      </c>
      <c r="T241" s="186">
        <v>90000000</v>
      </c>
      <c r="U241" s="205" t="s">
        <v>4766</v>
      </c>
      <c r="V241" s="205">
        <v>101933</v>
      </c>
      <c r="W241" s="111">
        <v>294.30973999999998</v>
      </c>
      <c r="X241" s="111">
        <f t="shared" si="82"/>
        <v>29999874.727419998</v>
      </c>
      <c r="Y241" s="97" t="s">
        <v>1069</v>
      </c>
      <c r="Z241" t="s">
        <v>25</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5802</v>
      </c>
      <c r="S242" s="187" t="s">
        <v>5798</v>
      </c>
      <c r="T242" s="186">
        <v>33832510.64875</v>
      </c>
      <c r="U242" s="205" t="s">
        <v>4773</v>
      </c>
      <c r="V242" s="205">
        <v>3407</v>
      </c>
      <c r="W242" s="111">
        <v>293.43799999999999</v>
      </c>
      <c r="X242" s="111">
        <f t="shared" si="82"/>
        <v>999743.26599999995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5817</v>
      </c>
      <c r="S243" s="187" t="s">
        <v>5814</v>
      </c>
      <c r="T243" s="186">
        <v>21634932</v>
      </c>
      <c r="U243" s="205" t="s">
        <v>4774</v>
      </c>
      <c r="V243" s="205">
        <v>68796</v>
      </c>
      <c r="W243" s="111">
        <v>293.53250000000003</v>
      </c>
      <c r="X243" s="111">
        <f t="shared" si="82"/>
        <v>20193861.870000001</v>
      </c>
      <c r="Y243" s="97" t="s">
        <v>743</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4726</v>
      </c>
      <c r="S244" s="187" t="s">
        <v>5814</v>
      </c>
      <c r="T244" s="186">
        <v>-22520813.151772</v>
      </c>
      <c r="U244" s="205" t="s">
        <v>4774</v>
      </c>
      <c r="V244" s="205">
        <v>154791</v>
      </c>
      <c r="W244" s="111">
        <v>293.53250000000003</v>
      </c>
      <c r="X244" s="111">
        <f t="shared" si="82"/>
        <v>45436189.207500003</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6394</v>
      </c>
      <c r="S245" s="19" t="s">
        <v>6392</v>
      </c>
      <c r="T245" s="115">
        <v>-6000000</v>
      </c>
      <c r="U245" s="205" t="s">
        <v>4774</v>
      </c>
      <c r="V245" s="205">
        <v>-11923</v>
      </c>
      <c r="W245" s="111">
        <v>293.53250000000003</v>
      </c>
      <c r="X245" s="111">
        <f t="shared" si="82"/>
        <v>-3499787.9975000005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5365</v>
      </c>
      <c r="S246" s="187" t="s">
        <v>6476</v>
      </c>
      <c r="T246" s="186">
        <v>130888.351165</v>
      </c>
      <c r="U246" s="205" t="s">
        <v>4786</v>
      </c>
      <c r="V246" s="205">
        <v>8424</v>
      </c>
      <c r="W246" s="111">
        <v>299.15170000000001</v>
      </c>
      <c r="X246" s="111">
        <f t="shared" si="82"/>
        <v>2520053.9208</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6584</v>
      </c>
      <c r="S247" s="187" t="s">
        <v>6580</v>
      </c>
      <c r="T247" s="186">
        <v>50000000</v>
      </c>
      <c r="U247" s="205" t="s">
        <v>4821</v>
      </c>
      <c r="V247" s="205">
        <v>15943</v>
      </c>
      <c r="W247" s="111">
        <v>307.34415000000001</v>
      </c>
      <c r="X247" s="111">
        <f t="shared" si="82"/>
        <v>4899987.78345</v>
      </c>
      <c r="Y247" s="97" t="s">
        <v>452</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t="s">
        <v>6610</v>
      </c>
      <c r="S248" s="19" t="s">
        <v>6609</v>
      </c>
      <c r="T248" s="115">
        <v>96000</v>
      </c>
      <c r="U248" s="205" t="s">
        <v>4834</v>
      </c>
      <c r="V248" s="205">
        <v>3741</v>
      </c>
      <c r="W248" s="111">
        <v>307.34415000000001</v>
      </c>
      <c r="X248" s="111">
        <f t="shared" si="82"/>
        <v>1149774.4651500001</v>
      </c>
      <c r="Y248" s="97" t="s">
        <v>452</v>
      </c>
      <c r="AA248" t="s">
        <v>25</v>
      </c>
      <c r="AI248" s="97">
        <v>228</v>
      </c>
      <c r="AJ248" s="111" t="s">
        <v>5809</v>
      </c>
      <c r="AK248" s="111">
        <v>150000</v>
      </c>
      <c r="AL248" s="97">
        <v>10</v>
      </c>
      <c r="AM248" s="20">
        <f t="shared" si="87"/>
        <v>304</v>
      </c>
      <c r="AN248" s="115"/>
      <c r="AO248" s="20"/>
    </row>
    <row r="249" spans="7:47">
      <c r="G249" s="205" t="s">
        <v>5756</v>
      </c>
      <c r="H249" s="111">
        <v>481318.88078800001</v>
      </c>
      <c r="J249" t="s">
        <v>25</v>
      </c>
      <c r="R249" s="187" t="s">
        <v>7033</v>
      </c>
      <c r="S249" s="187" t="s">
        <v>7030</v>
      </c>
      <c r="T249" s="186">
        <v>-40615000</v>
      </c>
      <c r="U249" s="205" t="s">
        <v>4839</v>
      </c>
      <c r="V249" s="205">
        <v>-6207</v>
      </c>
      <c r="W249" s="111">
        <v>322.214</v>
      </c>
      <c r="X249" s="111">
        <f t="shared" si="82"/>
        <v>-1999982.298</v>
      </c>
      <c r="Y249" s="97" t="s">
        <v>743</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87" t="s">
        <v>7059</v>
      </c>
      <c r="S250" s="187" t="s">
        <v>7058</v>
      </c>
      <c r="T250" s="186">
        <v>7300000</v>
      </c>
      <c r="U250" s="205" t="s">
        <v>4839</v>
      </c>
      <c r="V250" s="205">
        <v>6207</v>
      </c>
      <c r="W250" s="111">
        <v>322.214</v>
      </c>
      <c r="X250" s="111">
        <f t="shared" si="82"/>
        <v>1999982.298</v>
      </c>
      <c r="Y250" s="97" t="s">
        <v>4406</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4793</v>
      </c>
      <c r="V251" s="205">
        <v>776</v>
      </c>
      <c r="W251" s="111">
        <v>322.214</v>
      </c>
      <c r="X251" s="111">
        <f t="shared" si="82"/>
        <v>250038.06400000001</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19"/>
      <c r="S252" s="19"/>
      <c r="T252" s="115"/>
      <c r="U252" s="205" t="s">
        <v>4861</v>
      </c>
      <c r="V252" s="205">
        <v>1524</v>
      </c>
      <c r="W252" s="111">
        <v>314.95999999999998</v>
      </c>
      <c r="X252" s="111">
        <f t="shared" si="82"/>
        <v>479999.04</v>
      </c>
      <c r="Y252" s="97" t="s">
        <v>1069</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t="s">
        <v>25</v>
      </c>
      <c r="S253" s="205"/>
      <c r="T253" s="111"/>
      <c r="U253" s="205" t="s">
        <v>4868</v>
      </c>
      <c r="V253" s="205">
        <v>4435</v>
      </c>
      <c r="W253" s="111">
        <v>316.4375</v>
      </c>
      <c r="X253" s="111">
        <f t="shared" si="82"/>
        <v>1403400.3125</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205"/>
      <c r="S254" s="205"/>
      <c r="T254" s="111">
        <f>SUM(T206:T253)</f>
        <v>127637957.13209102</v>
      </c>
      <c r="U254" s="205" t="s">
        <v>4871</v>
      </c>
      <c r="V254" s="205">
        <v>624</v>
      </c>
      <c r="W254" s="111">
        <v>320.5</v>
      </c>
      <c r="X254" s="111">
        <f t="shared" si="82"/>
        <v>199992</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41"/>
      <c r="S255" s="205"/>
      <c r="T255" s="205" t="s">
        <v>6</v>
      </c>
      <c r="U255" s="205" t="s">
        <v>4876</v>
      </c>
      <c r="V255" s="205">
        <v>1086</v>
      </c>
      <c r="W255" s="111">
        <v>317.55</v>
      </c>
      <c r="X255" s="111">
        <f t="shared" si="82"/>
        <v>344859.3</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c r="U256" s="205" t="s">
        <v>4881</v>
      </c>
      <c r="V256" s="205">
        <v>2820</v>
      </c>
      <c r="W256" s="111">
        <v>319.1096</v>
      </c>
      <c r="X256" s="111">
        <f t="shared" si="82"/>
        <v>899889.07200000004</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U257" s="205" t="s">
        <v>4884</v>
      </c>
      <c r="V257" s="205">
        <v>1145</v>
      </c>
      <c r="W257" s="111">
        <v>325.44</v>
      </c>
      <c r="X257" s="111">
        <f t="shared" si="82"/>
        <v>372628.8</v>
      </c>
      <c r="Y257" s="97" t="s">
        <v>452</v>
      </c>
      <c r="Z257" t="s">
        <v>25</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4" t="s">
        <v>25</v>
      </c>
      <c r="S258" s="94" t="s">
        <v>25</v>
      </c>
      <c r="T258" t="s">
        <v>25</v>
      </c>
      <c r="U258" s="205" t="s">
        <v>4892</v>
      </c>
      <c r="V258" s="205">
        <v>20153</v>
      </c>
      <c r="W258" s="111">
        <v>322</v>
      </c>
      <c r="X258" s="111">
        <f t="shared" si="82"/>
        <v>6489266</v>
      </c>
      <c r="Y258" s="97" t="s">
        <v>452</v>
      </c>
      <c r="AI258" s="97">
        <v>238</v>
      </c>
      <c r="AJ258" s="111" t="s">
        <v>6379</v>
      </c>
      <c r="AK258" s="111">
        <v>10000</v>
      </c>
      <c r="AL258" s="97">
        <v>1</v>
      </c>
      <c r="AM258" s="20">
        <f t="shared" si="87"/>
        <v>282</v>
      </c>
      <c r="AN258" s="115"/>
      <c r="AO258" s="259"/>
    </row>
    <row r="259" spans="7:46" ht="15" customHeight="1">
      <c r="G259" s="205" t="s">
        <v>5847</v>
      </c>
      <c r="H259" s="111">
        <v>269955.31205999997</v>
      </c>
      <c r="T259" t="s">
        <v>25</v>
      </c>
      <c r="U259" s="205" t="s">
        <v>4902</v>
      </c>
      <c r="V259" s="205">
        <v>93720</v>
      </c>
      <c r="W259" s="111">
        <v>325.435</v>
      </c>
      <c r="X259" s="111">
        <f t="shared" si="82"/>
        <v>30499768.199999999</v>
      </c>
      <c r="Y259" s="97" t="s">
        <v>1069</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743</v>
      </c>
      <c r="S260" s="97"/>
      <c r="T260" t="s">
        <v>25</v>
      </c>
      <c r="U260" s="205" t="s">
        <v>4902</v>
      </c>
      <c r="V260" s="205">
        <v>20895</v>
      </c>
      <c r="W260" s="111">
        <v>325.435</v>
      </c>
      <c r="X260" s="111">
        <f t="shared" si="82"/>
        <v>6799964.3250000002</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4399</v>
      </c>
      <c r="S261" s="93">
        <v>172908000</v>
      </c>
      <c r="T261" t="s">
        <v>25</v>
      </c>
      <c r="U261" s="205" t="s">
        <v>4909</v>
      </c>
      <c r="V261" s="205">
        <v>2611</v>
      </c>
      <c r="W261" s="111">
        <v>325.435</v>
      </c>
      <c r="X261" s="111">
        <f t="shared" si="82"/>
        <v>849710.78500000003</v>
      </c>
      <c r="Y261" s="97" t="s">
        <v>743</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4430</v>
      </c>
      <c r="S262" s="93">
        <v>1400000</v>
      </c>
      <c r="U262" s="205" t="s">
        <v>4917</v>
      </c>
      <c r="V262" s="205">
        <v>6750</v>
      </c>
      <c r="W262" s="111">
        <v>339.3</v>
      </c>
      <c r="X262" s="111">
        <f t="shared" si="82"/>
        <v>2290275</v>
      </c>
      <c r="Y262" s="97" t="s">
        <v>743</v>
      </c>
      <c r="AB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4205</v>
      </c>
      <c r="S263" s="93">
        <v>247393</v>
      </c>
      <c r="T263" t="s">
        <v>25</v>
      </c>
      <c r="U263" s="205" t="s">
        <v>4925</v>
      </c>
      <c r="V263" s="205">
        <v>1850</v>
      </c>
      <c r="W263" s="111">
        <v>334.10050000000001</v>
      </c>
      <c r="X263" s="111">
        <f t="shared" si="82"/>
        <v>618085.92500000005</v>
      </c>
      <c r="Y263" s="97" t="s">
        <v>452</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4204</v>
      </c>
      <c r="S264" s="93">
        <v>6780000</v>
      </c>
      <c r="U264" s="205" t="s">
        <v>4925</v>
      </c>
      <c r="V264" s="205">
        <v>-1194</v>
      </c>
      <c r="W264" s="111">
        <v>335</v>
      </c>
      <c r="X264" s="111">
        <f t="shared" si="82"/>
        <v>-399990</v>
      </c>
      <c r="Y264" s="97" t="s">
        <v>4406</v>
      </c>
      <c r="Z264" t="s">
        <v>25</v>
      </c>
      <c r="AI264" s="97">
        <v>244</v>
      </c>
      <c r="AJ264" s="111" t="s">
        <v>6589</v>
      </c>
      <c r="AK264" s="111">
        <v>5000</v>
      </c>
      <c r="AL264" s="97">
        <v>8</v>
      </c>
      <c r="AM264" s="20">
        <f t="shared" si="87"/>
        <v>177</v>
      </c>
      <c r="AN264" s="115"/>
      <c r="AO264" s="259" t="s">
        <v>6435</v>
      </c>
    </row>
    <row r="265" spans="7:46">
      <c r="G265" s="205" t="s">
        <v>6437</v>
      </c>
      <c r="H265" s="111">
        <v>15777944</v>
      </c>
      <c r="R265" s="97" t="s">
        <v>4528</v>
      </c>
      <c r="S265" s="93">
        <v>-4000000</v>
      </c>
      <c r="U265" s="205" t="s">
        <v>4925</v>
      </c>
      <c r="V265" s="205">
        <v>1194</v>
      </c>
      <c r="W265" s="111">
        <v>335</v>
      </c>
      <c r="X265" s="111">
        <f t="shared" si="82"/>
        <v>399990</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4553</v>
      </c>
      <c r="S266" s="93">
        <v>16727037</v>
      </c>
      <c r="U266" s="205" t="s">
        <v>4932</v>
      </c>
      <c r="V266" s="205">
        <v>433</v>
      </c>
      <c r="W266" s="111">
        <v>345.68</v>
      </c>
      <c r="X266" s="111">
        <f t="shared" si="82"/>
        <v>149679.44</v>
      </c>
      <c r="Y266" s="97" t="s">
        <v>743</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4558</v>
      </c>
      <c r="S267" s="93">
        <v>46460683</v>
      </c>
      <c r="T267" t="s">
        <v>25</v>
      </c>
      <c r="U267" s="205" t="s">
        <v>4936</v>
      </c>
      <c r="V267" s="205">
        <v>55459</v>
      </c>
      <c r="W267" s="111">
        <v>362.51978000000003</v>
      </c>
      <c r="X267" s="111">
        <f t="shared" si="82"/>
        <v>20104984.479020003</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4559</v>
      </c>
      <c r="S268" s="93">
        <v>19663646</v>
      </c>
      <c r="U268" s="205" t="s">
        <v>4940</v>
      </c>
      <c r="V268" s="205">
        <v>-57212</v>
      </c>
      <c r="W268" s="111">
        <v>368.45400000000001</v>
      </c>
      <c r="X268" s="111">
        <f t="shared" si="82"/>
        <v>-21079990.248</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4580</v>
      </c>
      <c r="S269" s="93">
        <v>4374525</v>
      </c>
      <c r="U269" s="205" t="s">
        <v>4941</v>
      </c>
      <c r="V269" s="205">
        <v>-15881</v>
      </c>
      <c r="W269" s="111">
        <v>374.61599999999999</v>
      </c>
      <c r="X269" s="111">
        <f t="shared" si="82"/>
        <v>-5949276.6959999995</v>
      </c>
      <c r="Y269" s="97" t="s">
        <v>452</v>
      </c>
      <c r="AI269" s="97">
        <v>249</v>
      </c>
      <c r="AJ269" s="111" t="s">
        <v>7121</v>
      </c>
      <c r="AK269" s="111">
        <v>200000000</v>
      </c>
      <c r="AL269" s="97">
        <v>7</v>
      </c>
      <c r="AM269" s="20">
        <f t="shared" si="87"/>
        <v>8</v>
      </c>
      <c r="AN269" s="115"/>
      <c r="AO269" s="259" t="s">
        <v>7122</v>
      </c>
    </row>
    <row r="270" spans="7:46">
      <c r="G270" s="205" t="s">
        <v>6461</v>
      </c>
      <c r="H270" s="111">
        <v>4136360.6541840001</v>
      </c>
      <c r="J270" t="s">
        <v>25</v>
      </c>
      <c r="R270" s="97" t="s">
        <v>4591</v>
      </c>
      <c r="S270" s="93">
        <v>6550580</v>
      </c>
      <c r="U270" s="205" t="s">
        <v>4947</v>
      </c>
      <c r="V270" s="205">
        <v>-41289</v>
      </c>
      <c r="W270" s="111">
        <v>372.27</v>
      </c>
      <c r="X270" s="111">
        <f t="shared" si="82"/>
        <v>-15370656.029999999</v>
      </c>
      <c r="Y270" s="97" t="s">
        <v>452</v>
      </c>
      <c r="AI270" s="97">
        <v>250</v>
      </c>
      <c r="AJ270" s="111" t="s">
        <v>7134</v>
      </c>
      <c r="AK270" s="111">
        <v>50000</v>
      </c>
      <c r="AL270" s="97">
        <v>1</v>
      </c>
      <c r="AM270" s="20">
        <f t="shared" si="87"/>
        <v>1</v>
      </c>
      <c r="AN270" s="115"/>
      <c r="AO270" s="20" t="s">
        <v>6435</v>
      </c>
    </row>
    <row r="271" spans="7:46">
      <c r="G271" s="205" t="s">
        <v>6463</v>
      </c>
      <c r="H271" s="111">
        <v>3035714.4702960001</v>
      </c>
      <c r="R271" s="97" t="s">
        <v>4593</v>
      </c>
      <c r="S271" s="93">
        <v>6650895</v>
      </c>
      <c r="U271" s="205" t="s">
        <v>4953</v>
      </c>
      <c r="V271" s="205">
        <v>13563</v>
      </c>
      <c r="W271" s="111">
        <v>365.69799999999998</v>
      </c>
      <c r="X271" s="111">
        <f t="shared" si="82"/>
        <v>4959961.9739999995</v>
      </c>
      <c r="Y271" s="97" t="s">
        <v>452</v>
      </c>
      <c r="AD271" t="s">
        <v>25</v>
      </c>
      <c r="AI271" s="97"/>
      <c r="AJ271" s="111"/>
      <c r="AK271" s="111"/>
      <c r="AL271" s="97"/>
      <c r="AM271" s="20">
        <f t="shared" si="87"/>
        <v>0</v>
      </c>
      <c r="AN271" s="115"/>
      <c r="AO271" s="20"/>
      <c r="AS271" t="s">
        <v>25</v>
      </c>
    </row>
    <row r="272" spans="7:46">
      <c r="G272" s="205" t="s">
        <v>6471</v>
      </c>
      <c r="H272" s="111">
        <v>93814</v>
      </c>
      <c r="R272" s="97" t="s">
        <v>4606</v>
      </c>
      <c r="S272" s="93">
        <v>2145814</v>
      </c>
      <c r="U272" s="205" t="s">
        <v>4953</v>
      </c>
      <c r="V272" s="205">
        <v>27344</v>
      </c>
      <c r="W272" s="111">
        <v>365.69799999999998</v>
      </c>
      <c r="X272" s="111">
        <f t="shared" si="82"/>
        <v>9999646.1119999997</v>
      </c>
      <c r="Y272" s="97" t="s">
        <v>452</v>
      </c>
      <c r="AI272" s="97"/>
      <c r="AJ272" s="111"/>
      <c r="AK272" s="111"/>
      <c r="AL272" s="97"/>
      <c r="AM272" s="20">
        <f t="shared" si="87"/>
        <v>0</v>
      </c>
      <c r="AN272" s="115"/>
      <c r="AO272" s="20"/>
    </row>
    <row r="273" spans="7:41" ht="30">
      <c r="G273" s="205" t="s">
        <v>6476</v>
      </c>
      <c r="H273" s="111">
        <v>345069.28943499998</v>
      </c>
      <c r="R273" s="97" t="s">
        <v>4617</v>
      </c>
      <c r="S273" s="93">
        <v>4369730</v>
      </c>
      <c r="U273" s="205" t="s">
        <v>4960</v>
      </c>
      <c r="V273" s="205">
        <v>-103145</v>
      </c>
      <c r="W273" s="111">
        <v>393.334</v>
      </c>
      <c r="X273" s="111">
        <f t="shared" si="82"/>
        <v>-40570435.43</v>
      </c>
      <c r="Y273" s="36" t="s">
        <v>4965</v>
      </c>
      <c r="AI273" s="97"/>
      <c r="AJ273" s="111"/>
      <c r="AK273" s="111">
        <v>0</v>
      </c>
      <c r="AL273" s="97"/>
      <c r="AM273" s="20">
        <f t="shared" si="87"/>
        <v>0</v>
      </c>
      <c r="AN273" s="115">
        <f t="shared" si="88"/>
        <v>0</v>
      </c>
      <c r="AO273" s="20"/>
    </row>
    <row r="274" spans="7:41">
      <c r="G274" s="205" t="s">
        <v>6568</v>
      </c>
      <c r="H274" s="111">
        <v>567785.37859199999</v>
      </c>
      <c r="R274" s="97" t="s">
        <v>4619</v>
      </c>
      <c r="S274" s="93">
        <v>8739459</v>
      </c>
      <c r="T274" t="s">
        <v>25</v>
      </c>
      <c r="U274" s="205" t="s">
        <v>4960</v>
      </c>
      <c r="V274" s="205">
        <v>-369</v>
      </c>
      <c r="W274" s="111">
        <v>393.334</v>
      </c>
      <c r="X274" s="111">
        <f t="shared" si="82"/>
        <v>-145140.24600000001</v>
      </c>
      <c r="Y274" s="36" t="s">
        <v>5037</v>
      </c>
      <c r="AI274" s="97"/>
      <c r="AJ274" s="111"/>
      <c r="AK274" s="111"/>
      <c r="AL274" s="97">
        <v>0</v>
      </c>
      <c r="AM274" s="20">
        <f t="shared" si="87"/>
        <v>0</v>
      </c>
      <c r="AN274" s="115">
        <f t="shared" si="88"/>
        <v>0</v>
      </c>
      <c r="AO274" s="20"/>
    </row>
    <row r="275" spans="7:41">
      <c r="G275" s="205" t="s">
        <v>6579</v>
      </c>
      <c r="H275" s="111">
        <v>189683.91675</v>
      </c>
      <c r="J275" t="s">
        <v>25</v>
      </c>
      <c r="R275" s="97" t="s">
        <v>4628</v>
      </c>
      <c r="S275" s="93">
        <v>6667654</v>
      </c>
      <c r="U275" s="205" t="s">
        <v>4960</v>
      </c>
      <c r="V275" s="205">
        <v>-889</v>
      </c>
      <c r="W275" s="111">
        <v>393.334</v>
      </c>
      <c r="X275" s="111">
        <f t="shared" si="82"/>
        <v>-349673.92599999998</v>
      </c>
      <c r="Y275" s="36" t="s">
        <v>5038</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4636</v>
      </c>
      <c r="S276" s="93">
        <v>8981245</v>
      </c>
      <c r="U276" s="205" t="s">
        <v>4969</v>
      </c>
      <c r="V276" s="205">
        <v>2546</v>
      </c>
      <c r="W276" s="111">
        <v>393</v>
      </c>
      <c r="X276" s="111">
        <f t="shared" si="82"/>
        <v>1000578</v>
      </c>
      <c r="Y276" s="36" t="s">
        <v>452</v>
      </c>
      <c r="AI276" s="97"/>
      <c r="AJ276" s="97"/>
      <c r="AK276" s="97" t="s">
        <v>4041</v>
      </c>
      <c r="AL276" s="97"/>
      <c r="AM276" s="97"/>
      <c r="AN276" s="97" t="s">
        <v>284</v>
      </c>
      <c r="AO276" s="97" t="s">
        <v>926</v>
      </c>
    </row>
    <row r="277" spans="7:41">
      <c r="G277" s="205" t="s">
        <v>6586</v>
      </c>
      <c r="H277" s="111">
        <v>3406413.9029760002</v>
      </c>
      <c r="R277" s="97" t="s">
        <v>4640</v>
      </c>
      <c r="S277" s="93">
        <v>9181756</v>
      </c>
      <c r="U277" s="205" t="s">
        <v>4970</v>
      </c>
      <c r="V277" s="205">
        <v>1034</v>
      </c>
      <c r="W277" s="111">
        <v>386.608</v>
      </c>
      <c r="X277" s="111">
        <f t="shared" si="82"/>
        <v>399752.67200000002</v>
      </c>
      <c r="Y277" s="36" t="s">
        <v>452</v>
      </c>
      <c r="AI277" s="97"/>
      <c r="AJ277" s="97"/>
      <c r="AK277" s="97"/>
      <c r="AL277" s="97"/>
      <c r="AM277" s="97"/>
      <c r="AN277" s="97"/>
      <c r="AO277" s="97"/>
    </row>
    <row r="278" spans="7:41">
      <c r="G278" s="407" t="s">
        <v>6588</v>
      </c>
      <c r="H278" s="77">
        <v>435036.348168</v>
      </c>
      <c r="R278" s="97" t="s">
        <v>4643</v>
      </c>
      <c r="S278" s="93">
        <v>11811208</v>
      </c>
      <c r="T278" t="s">
        <v>25</v>
      </c>
      <c r="U278" s="205" t="s">
        <v>4977</v>
      </c>
      <c r="V278" s="205">
        <v>300</v>
      </c>
      <c r="W278" s="111">
        <v>400</v>
      </c>
      <c r="X278" s="111">
        <f t="shared" si="82"/>
        <v>120000</v>
      </c>
      <c r="Y278" s="36" t="s">
        <v>452</v>
      </c>
      <c r="AI278" s="97"/>
      <c r="AJ278" s="97"/>
      <c r="AK278" s="97"/>
      <c r="AL278" s="97"/>
      <c r="AM278" s="97"/>
      <c r="AN278" s="97" t="s">
        <v>4042</v>
      </c>
      <c r="AO278" s="97">
        <v>1.6667000000000001E-2</v>
      </c>
    </row>
    <row r="279" spans="7:41">
      <c r="G279" s="205" t="s">
        <v>6626</v>
      </c>
      <c r="H279" s="111">
        <v>2321535.4633200001</v>
      </c>
      <c r="R279" s="97" t="s">
        <v>4655</v>
      </c>
      <c r="S279" s="93">
        <v>41248054</v>
      </c>
      <c r="T279" t="s">
        <v>25</v>
      </c>
      <c r="U279" s="205" t="s">
        <v>4985</v>
      </c>
      <c r="V279" s="205">
        <v>782</v>
      </c>
      <c r="W279" s="111">
        <v>409</v>
      </c>
      <c r="X279" s="111">
        <f t="shared" si="82"/>
        <v>319838</v>
      </c>
      <c r="Y279" s="36" t="s">
        <v>743</v>
      </c>
      <c r="AI279" s="97"/>
      <c r="AJ279" s="97"/>
      <c r="AK279" s="97"/>
      <c r="AL279" s="97"/>
      <c r="AM279" s="97"/>
      <c r="AN279" s="97"/>
      <c r="AO279" s="97"/>
    </row>
    <row r="280" spans="7:41">
      <c r="G280" s="205" t="s">
        <v>6907</v>
      </c>
      <c r="H280" s="111">
        <v>1098146.8035800001</v>
      </c>
      <c r="R280" s="97" t="s">
        <v>4662</v>
      </c>
      <c r="S280" s="93">
        <v>37328780</v>
      </c>
      <c r="U280" s="205" t="s">
        <v>4989</v>
      </c>
      <c r="V280" s="205">
        <v>1220</v>
      </c>
      <c r="W280" s="111">
        <v>409.9</v>
      </c>
      <c r="X280" s="111">
        <f t="shared" si="82"/>
        <v>500078</v>
      </c>
      <c r="Y280" s="36" t="s">
        <v>743</v>
      </c>
      <c r="AI280" s="97"/>
      <c r="AJ280" s="97" t="s">
        <v>4043</v>
      </c>
      <c r="AK280" s="93">
        <f>AK275+AO275</f>
        <v>1021729351.7071419</v>
      </c>
      <c r="AL280" s="97"/>
      <c r="AM280" s="97"/>
      <c r="AN280" s="97"/>
      <c r="AO280" s="97"/>
    </row>
    <row r="281" spans="7:41">
      <c r="G281" s="205" t="s">
        <v>6912</v>
      </c>
      <c r="H281" s="111">
        <v>540424.560405</v>
      </c>
      <c r="R281" s="97" t="s">
        <v>4738</v>
      </c>
      <c r="S281" s="93">
        <v>-2194100</v>
      </c>
      <c r="U281" s="205" t="s">
        <v>4991</v>
      </c>
      <c r="V281" s="205">
        <v>1285</v>
      </c>
      <c r="W281" s="111">
        <v>388.84</v>
      </c>
      <c r="X281" s="111">
        <f t="shared" si="82"/>
        <v>499659.39999999997</v>
      </c>
      <c r="Y281" s="36" t="s">
        <v>452</v>
      </c>
      <c r="AJ281" t="s">
        <v>4046</v>
      </c>
      <c r="AK281" s="112">
        <f>SUM(N47:N56)</f>
        <v>6216473379</v>
      </c>
      <c r="AN281" t="s">
        <v>25</v>
      </c>
    </row>
    <row r="282" spans="7:41">
      <c r="G282" s="205" t="s">
        <v>6914</v>
      </c>
      <c r="H282" s="111">
        <v>2781712.2405709997</v>
      </c>
      <c r="R282" s="97" t="s">
        <v>4774</v>
      </c>
      <c r="S282" s="93">
        <v>20193916</v>
      </c>
      <c r="U282" s="205" t="s">
        <v>4982</v>
      </c>
      <c r="V282" s="205">
        <v>1924</v>
      </c>
      <c r="W282" s="111">
        <v>386.69600000000003</v>
      </c>
      <c r="X282" s="111">
        <f t="shared" si="82"/>
        <v>744003.10400000005</v>
      </c>
      <c r="Y282" s="36" t="s">
        <v>452</v>
      </c>
      <c r="AJ282" t="s">
        <v>4116</v>
      </c>
      <c r="AK282" s="112">
        <f>AK281-AK275</f>
        <v>5546637429.9384365</v>
      </c>
      <c r="AN282" t="s">
        <v>25</v>
      </c>
    </row>
    <row r="283" spans="7:41">
      <c r="G283" s="205" t="s">
        <v>6922</v>
      </c>
      <c r="H283" s="111">
        <v>109680.86334900001</v>
      </c>
      <c r="R283" s="97" t="s">
        <v>4839</v>
      </c>
      <c r="S283" s="93">
        <v>-2000000</v>
      </c>
      <c r="U283" s="205" t="s">
        <v>5007</v>
      </c>
      <c r="V283" s="205">
        <v>165</v>
      </c>
      <c r="W283" s="111">
        <v>393.5</v>
      </c>
      <c r="X283" s="111">
        <f t="shared" si="82"/>
        <v>64927.5</v>
      </c>
      <c r="Y283" s="36" t="s">
        <v>452</v>
      </c>
      <c r="AJ283" t="s">
        <v>926</v>
      </c>
      <c r="AK283" s="112">
        <f>AO275</f>
        <v>351893402.64557797</v>
      </c>
      <c r="AO283" t="s">
        <v>25</v>
      </c>
    </row>
    <row r="284" spans="7:41">
      <c r="G284" s="205" t="s">
        <v>6943</v>
      </c>
      <c r="H284" s="111">
        <v>13945790.265610002</v>
      </c>
      <c r="R284" s="97" t="s">
        <v>4902</v>
      </c>
      <c r="S284" s="93">
        <v>6800000</v>
      </c>
      <c r="T284" t="s">
        <v>25</v>
      </c>
      <c r="U284" s="205" t="s">
        <v>5012</v>
      </c>
      <c r="V284" s="205">
        <v>-34859</v>
      </c>
      <c r="W284" s="111">
        <v>403.1585</v>
      </c>
      <c r="X284" s="111">
        <f t="shared" si="82"/>
        <v>-14053702.1515</v>
      </c>
      <c r="Y284" s="36" t="s">
        <v>5015</v>
      </c>
      <c r="AJ284" t="s">
        <v>4047</v>
      </c>
      <c r="AK284" s="112">
        <f>AK281-AK280</f>
        <v>5194744027.2928581</v>
      </c>
      <c r="AO284" t="s">
        <v>25</v>
      </c>
    </row>
    <row r="285" spans="7:41">
      <c r="G285" s="205" t="s">
        <v>6945</v>
      </c>
      <c r="H285" s="111">
        <v>457914.84466800001</v>
      </c>
      <c r="O285" t="s">
        <v>25</v>
      </c>
      <c r="R285" s="97" t="s">
        <v>4909</v>
      </c>
      <c r="S285" s="93">
        <v>850000</v>
      </c>
      <c r="U285" s="205" t="s">
        <v>4983</v>
      </c>
      <c r="V285" s="205">
        <v>8476</v>
      </c>
      <c r="W285" s="111">
        <v>419.49900000000002</v>
      </c>
      <c r="X285" s="111">
        <f t="shared" si="82"/>
        <v>3555673.5240000002</v>
      </c>
      <c r="Y285" s="36" t="s">
        <v>5021</v>
      </c>
      <c r="AN285" t="s">
        <v>25</v>
      </c>
    </row>
    <row r="286" spans="7:41">
      <c r="G286" s="205" t="s">
        <v>6947</v>
      </c>
      <c r="H286" s="111">
        <v>974570.33942399989</v>
      </c>
      <c r="R286" s="97" t="s">
        <v>4917</v>
      </c>
      <c r="S286" s="93">
        <v>2290500</v>
      </c>
      <c r="U286" s="205" t="s">
        <v>5033</v>
      </c>
      <c r="V286" s="205">
        <v>903</v>
      </c>
      <c r="W286" s="111">
        <v>442.77379999999999</v>
      </c>
      <c r="X286" s="111">
        <f t="shared" si="82"/>
        <v>399824.7414</v>
      </c>
      <c r="Y286" s="36" t="s">
        <v>743</v>
      </c>
      <c r="AK286" t="s">
        <v>25</v>
      </c>
    </row>
    <row r="287" spans="7:41">
      <c r="G287" s="205" t="s">
        <v>6949</v>
      </c>
      <c r="H287" s="111">
        <v>746198.52596400003</v>
      </c>
      <c r="J287" t="s">
        <v>25</v>
      </c>
      <c r="R287" s="97" t="s">
        <v>4925</v>
      </c>
      <c r="S287" s="93">
        <v>400000</v>
      </c>
      <c r="T287" t="s">
        <v>25</v>
      </c>
      <c r="U287" s="205" t="s">
        <v>5036</v>
      </c>
      <c r="V287" s="205">
        <v>113</v>
      </c>
      <c r="W287" s="111">
        <v>442.48200000000003</v>
      </c>
      <c r="X287" s="111">
        <f t="shared" ref="X287:X368" si="89">V287*W287</f>
        <v>50000.466</v>
      </c>
      <c r="Y287" s="36" t="s">
        <v>743</v>
      </c>
    </row>
    <row r="288" spans="7:41">
      <c r="G288" s="205" t="s">
        <v>6952</v>
      </c>
      <c r="H288" s="111">
        <v>416108</v>
      </c>
      <c r="R288" s="97" t="s">
        <v>4932</v>
      </c>
      <c r="S288" s="93">
        <v>150000</v>
      </c>
      <c r="U288" s="205" t="s">
        <v>5046</v>
      </c>
      <c r="V288" s="205">
        <v>671</v>
      </c>
      <c r="W288" s="111">
        <v>447</v>
      </c>
      <c r="X288" s="111">
        <f t="shared" si="89"/>
        <v>299937</v>
      </c>
      <c r="Y288" s="36" t="s">
        <v>743</v>
      </c>
    </row>
    <row r="289" spans="7:45">
      <c r="G289" s="205" t="s">
        <v>6966</v>
      </c>
      <c r="H289" s="111">
        <v>361620.57555000001</v>
      </c>
      <c r="R289" s="97" t="s">
        <v>4960</v>
      </c>
      <c r="S289" s="93">
        <v>-144950</v>
      </c>
      <c r="U289" s="205" t="s">
        <v>5048</v>
      </c>
      <c r="V289" s="205">
        <v>7</v>
      </c>
      <c r="W289" s="111">
        <v>465.31200000000001</v>
      </c>
      <c r="X289" s="111">
        <f t="shared" si="89"/>
        <v>3257.1840000000002</v>
      </c>
      <c r="Y289" s="36" t="s">
        <v>452</v>
      </c>
    </row>
    <row r="290" spans="7:45">
      <c r="G290" s="205" t="s">
        <v>6967</v>
      </c>
      <c r="H290" s="111">
        <v>761310.51884999999</v>
      </c>
      <c r="R290" s="97" t="s">
        <v>4985</v>
      </c>
      <c r="S290" s="93">
        <v>320000</v>
      </c>
      <c r="U290" s="205" t="s">
        <v>5052</v>
      </c>
      <c r="V290" s="205">
        <v>12950</v>
      </c>
      <c r="W290" s="111">
        <v>463.31599999999997</v>
      </c>
      <c r="X290" s="111">
        <f t="shared" si="89"/>
        <v>5999942.1999999993</v>
      </c>
      <c r="Y290" s="36" t="s">
        <v>452</v>
      </c>
    </row>
    <row r="291" spans="7:45">
      <c r="G291" s="205" t="s">
        <v>6970</v>
      </c>
      <c r="H291" s="111">
        <v>3047100.3041699999</v>
      </c>
      <c r="R291" s="97" t="s">
        <v>4989</v>
      </c>
      <c r="S291" s="93">
        <v>500000</v>
      </c>
      <c r="T291" t="s">
        <v>25</v>
      </c>
      <c r="U291" s="205" t="s">
        <v>5054</v>
      </c>
      <c r="V291" s="205">
        <v>37</v>
      </c>
      <c r="W291" s="111">
        <v>463.315</v>
      </c>
      <c r="X291" s="111">
        <f t="shared" si="89"/>
        <v>17142.654999999999</v>
      </c>
      <c r="Y291" s="36" t="s">
        <v>452</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5033</v>
      </c>
      <c r="S292" s="93">
        <v>400000</v>
      </c>
      <c r="T292" t="s">
        <v>25</v>
      </c>
      <c r="U292" s="205" t="s">
        <v>5055</v>
      </c>
      <c r="V292" s="205">
        <v>19</v>
      </c>
      <c r="W292" s="111">
        <v>434.3</v>
      </c>
      <c r="X292" s="111">
        <f t="shared" si="89"/>
        <v>8251.7000000000007</v>
      </c>
      <c r="Y292" s="36" t="s">
        <v>452</v>
      </c>
      <c r="Z292" t="s">
        <v>25</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5036</v>
      </c>
      <c r="S293" s="93">
        <v>50000</v>
      </c>
      <c r="T293" t="s">
        <v>25</v>
      </c>
      <c r="U293" s="205" t="s">
        <v>5057</v>
      </c>
      <c r="V293" s="205">
        <v>16</v>
      </c>
      <c r="W293" s="111">
        <v>439</v>
      </c>
      <c r="X293" s="111">
        <f t="shared" si="89"/>
        <v>7024</v>
      </c>
      <c r="Y293" s="36" t="s">
        <v>452</v>
      </c>
      <c r="Z293" t="s">
        <v>25</v>
      </c>
      <c r="AI293" s="97">
        <v>2</v>
      </c>
      <c r="AJ293" s="97" t="s">
        <v>4006</v>
      </c>
      <c r="AK293" s="115">
        <v>1720837</v>
      </c>
      <c r="AL293" s="97">
        <v>51</v>
      </c>
      <c r="AM293" s="97">
        <f t="shared" ref="AM293:AM302" si="90">AL293+AM294</f>
        <v>989</v>
      </c>
      <c r="AN293" s="97">
        <f t="shared" ref="AN293:AN321" si="91">AK293*AM293</f>
        <v>1701907793</v>
      </c>
      <c r="AO293" s="97" t="s">
        <v>4284</v>
      </c>
    </row>
    <row r="294" spans="7:45" ht="45">
      <c r="G294" s="205" t="s">
        <v>7057</v>
      </c>
      <c r="H294" s="111">
        <v>5584918.3522559991</v>
      </c>
      <c r="R294" s="97" t="s">
        <v>5046</v>
      </c>
      <c r="S294" s="93">
        <v>300000</v>
      </c>
      <c r="U294" s="205" t="s">
        <v>5057</v>
      </c>
      <c r="V294" s="205">
        <v>9191</v>
      </c>
      <c r="W294" s="111">
        <v>440.24630000000002</v>
      </c>
      <c r="X294" s="111">
        <f t="shared" si="89"/>
        <v>4046303.7433000002</v>
      </c>
      <c r="Y294" s="36" t="s">
        <v>5058</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5067</v>
      </c>
      <c r="S295" s="93">
        <v>250000</v>
      </c>
      <c r="U295" s="205" t="s">
        <v>5060</v>
      </c>
      <c r="V295" s="205">
        <v>-8792</v>
      </c>
      <c r="W295" s="111">
        <v>441.90665999999999</v>
      </c>
      <c r="X295" s="111">
        <f t="shared" si="89"/>
        <v>-3885243.3547199997</v>
      </c>
      <c r="Y295" s="36" t="s">
        <v>5061</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5100</v>
      </c>
      <c r="S296" s="93">
        <v>200000</v>
      </c>
      <c r="U296" s="205" t="s">
        <v>5067</v>
      </c>
      <c r="V296" s="205">
        <v>530</v>
      </c>
      <c r="W296" s="111">
        <v>472</v>
      </c>
      <c r="X296" s="111">
        <f t="shared" si="89"/>
        <v>250160</v>
      </c>
      <c r="Y296" s="36" t="s">
        <v>743</v>
      </c>
      <c r="AI296" s="97">
        <v>5</v>
      </c>
      <c r="AJ296" s="97" t="s">
        <v>4149</v>
      </c>
      <c r="AK296" s="115">
        <v>3150000</v>
      </c>
      <c r="AL296" s="97">
        <v>16</v>
      </c>
      <c r="AM296" s="97">
        <f t="shared" si="90"/>
        <v>927</v>
      </c>
      <c r="AN296" s="97">
        <f t="shared" si="91"/>
        <v>2920050000</v>
      </c>
      <c r="AO296" s="97"/>
    </row>
    <row r="297" spans="7:45" ht="30">
      <c r="G297" s="205" t="s">
        <v>7080</v>
      </c>
      <c r="H297" s="111">
        <v>117222.435308</v>
      </c>
      <c r="R297" s="97" t="s">
        <v>5132</v>
      </c>
      <c r="S297" s="93">
        <v>122000</v>
      </c>
      <c r="U297" s="205" t="s">
        <v>5067</v>
      </c>
      <c r="V297" s="205">
        <v>12</v>
      </c>
      <c r="W297" s="111">
        <v>481.86</v>
      </c>
      <c r="X297" s="111">
        <f t="shared" si="89"/>
        <v>5782.32</v>
      </c>
      <c r="Y297" s="36" t="s">
        <v>5069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5140</v>
      </c>
      <c r="S298" s="93">
        <v>200000</v>
      </c>
      <c r="T298" t="s">
        <v>25</v>
      </c>
      <c r="U298" s="205" t="s">
        <v>5093</v>
      </c>
      <c r="V298" s="205">
        <v>846</v>
      </c>
      <c r="W298" s="111">
        <v>472.7</v>
      </c>
      <c r="X298" s="111">
        <f t="shared" si="89"/>
        <v>399904.2</v>
      </c>
      <c r="Y298" s="36" t="s">
        <v>452</v>
      </c>
      <c r="AI298" s="97">
        <v>7</v>
      </c>
      <c r="AJ298" s="97" t="s">
        <v>4285</v>
      </c>
      <c r="AK298" s="115">
        <v>-95000</v>
      </c>
      <c r="AL298" s="97">
        <v>6</v>
      </c>
      <c r="AM298" s="97">
        <f t="shared" si="90"/>
        <v>910</v>
      </c>
      <c r="AN298" s="97">
        <f t="shared" si="91"/>
        <v>-86450000</v>
      </c>
      <c r="AO298" s="97"/>
    </row>
    <row r="299" spans="7:45">
      <c r="G299" s="205" t="s">
        <v>7139</v>
      </c>
      <c r="H299" s="111">
        <v>195324.59944799999</v>
      </c>
      <c r="R299" s="97" t="s">
        <v>5150</v>
      </c>
      <c r="S299" s="93">
        <v>60000</v>
      </c>
      <c r="U299" s="205" t="s">
        <v>5096</v>
      </c>
      <c r="V299" s="205">
        <v>191</v>
      </c>
      <c r="W299" s="111">
        <v>484.572</v>
      </c>
      <c r="X299" s="111">
        <f t="shared" si="89"/>
        <v>92553.252000000008</v>
      </c>
      <c r="Y299" s="36" t="s">
        <v>5097</v>
      </c>
      <c r="AI299" s="97">
        <v>8</v>
      </c>
      <c r="AJ299" s="97" t="s">
        <v>4286</v>
      </c>
      <c r="AK299" s="115">
        <v>232000</v>
      </c>
      <c r="AL299" s="97">
        <v>7</v>
      </c>
      <c r="AM299" s="97">
        <f t="shared" si="90"/>
        <v>904</v>
      </c>
      <c r="AN299" s="97">
        <f t="shared" si="91"/>
        <v>209728000</v>
      </c>
      <c r="AO299" s="97"/>
    </row>
    <row r="300" spans="7:45">
      <c r="G300" s="205" t="s">
        <v>7139</v>
      </c>
      <c r="H300" s="111">
        <v>20318581.172208</v>
      </c>
      <c r="R300" s="97" t="s">
        <v>5209</v>
      </c>
      <c r="S300" s="93">
        <v>-200000</v>
      </c>
      <c r="T300" t="s">
        <v>25</v>
      </c>
      <c r="U300" s="205" t="s">
        <v>5096</v>
      </c>
      <c r="V300" s="205">
        <v>-206</v>
      </c>
      <c r="W300" s="111">
        <v>484.572</v>
      </c>
      <c r="X300" s="111">
        <f t="shared" si="89"/>
        <v>-99821.831999999995</v>
      </c>
      <c r="Y300" s="36" t="s">
        <v>5099</v>
      </c>
      <c r="AI300" s="97">
        <v>9</v>
      </c>
      <c r="AJ300" s="97" t="s">
        <v>4264</v>
      </c>
      <c r="AK300" s="115">
        <v>13000000</v>
      </c>
      <c r="AL300" s="97">
        <v>2</v>
      </c>
      <c r="AM300" s="97">
        <f t="shared" si="90"/>
        <v>897</v>
      </c>
      <c r="AN300" s="97">
        <f t="shared" si="91"/>
        <v>11661000000</v>
      </c>
      <c r="AO300" s="97"/>
      <c r="AS300" t="s">
        <v>25</v>
      </c>
    </row>
    <row r="301" spans="7:45">
      <c r="G301" s="205" t="s">
        <v>7142</v>
      </c>
      <c r="H301" s="111">
        <v>2893976.613864</v>
      </c>
      <c r="O301" t="s">
        <v>25</v>
      </c>
      <c r="R301" s="97" t="s">
        <v>5271</v>
      </c>
      <c r="S301" s="93">
        <v>-9000000</v>
      </c>
      <c r="U301" s="205" t="s">
        <v>5100</v>
      </c>
      <c r="V301" s="205">
        <v>20685</v>
      </c>
      <c r="W301" s="111">
        <v>483.43312200000003</v>
      </c>
      <c r="X301" s="111">
        <f t="shared" si="89"/>
        <v>9999814.1285699997</v>
      </c>
      <c r="Y301" s="36" t="s">
        <v>5102</v>
      </c>
      <c r="AI301" s="97">
        <v>10</v>
      </c>
      <c r="AJ301" s="97" t="s">
        <v>4287</v>
      </c>
      <c r="AK301" s="115">
        <v>10000000</v>
      </c>
      <c r="AL301" s="97">
        <v>3</v>
      </c>
      <c r="AM301" s="97">
        <f t="shared" si="90"/>
        <v>895</v>
      </c>
      <c r="AN301" s="97">
        <f t="shared" si="91"/>
        <v>8950000000</v>
      </c>
      <c r="AO301" s="97"/>
    </row>
    <row r="302" spans="7:45">
      <c r="G302" s="205" t="s">
        <v>7143</v>
      </c>
      <c r="H302" s="111">
        <v>348175.86130300001</v>
      </c>
      <c r="R302" s="97" t="s">
        <v>5328</v>
      </c>
      <c r="S302" s="93">
        <v>-26000000</v>
      </c>
      <c r="U302" s="205" t="s">
        <v>5100</v>
      </c>
      <c r="V302" s="205">
        <v>-413</v>
      </c>
      <c r="W302" s="111">
        <v>483.40199999999999</v>
      </c>
      <c r="X302" s="111">
        <f t="shared" si="89"/>
        <v>-199645.02599999998</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5332</v>
      </c>
      <c r="S303" s="93">
        <v>-95900000</v>
      </c>
      <c r="U303" s="205" t="s">
        <v>5100</v>
      </c>
      <c r="V303" s="205">
        <v>413</v>
      </c>
      <c r="W303" s="111">
        <v>483.40199999999999</v>
      </c>
      <c r="X303" s="111">
        <f t="shared" si="89"/>
        <v>199645.02599999998</v>
      </c>
      <c r="Y303" s="36" t="s">
        <v>743</v>
      </c>
      <c r="AI303" s="97">
        <v>12</v>
      </c>
      <c r="AJ303" s="97" t="s">
        <v>4313</v>
      </c>
      <c r="AK303" s="115">
        <v>-8736514</v>
      </c>
      <c r="AL303" s="97">
        <v>1</v>
      </c>
      <c r="AM303" s="97">
        <f>AL303+AM304</f>
        <v>883</v>
      </c>
      <c r="AN303" s="97">
        <f t="shared" si="91"/>
        <v>-7714341862</v>
      </c>
      <c r="AO303" s="97"/>
    </row>
    <row r="304" spans="7:45">
      <c r="G304" s="205"/>
      <c r="H304" s="111"/>
      <c r="R304" s="97" t="s">
        <v>5333</v>
      </c>
      <c r="S304" s="93">
        <v>-28950000</v>
      </c>
      <c r="T304" t="s">
        <v>25</v>
      </c>
      <c r="U304" s="205" t="s">
        <v>5105</v>
      </c>
      <c r="V304" s="205">
        <v>-828</v>
      </c>
      <c r="W304" s="111">
        <v>483.43312200000003</v>
      </c>
      <c r="X304" s="111">
        <f t="shared" si="89"/>
        <v>-400282.62501600001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5475</v>
      </c>
      <c r="S305" s="93">
        <v>-93000000</v>
      </c>
      <c r="T305" t="s">
        <v>25</v>
      </c>
      <c r="U305" s="205" t="s">
        <v>5108</v>
      </c>
      <c r="V305" s="205">
        <v>12</v>
      </c>
      <c r="W305" s="111">
        <v>473.61898300000001</v>
      </c>
      <c r="X305" s="111">
        <f t="shared" si="89"/>
        <v>5683.4277959999999</v>
      </c>
      <c r="Y305" s="36" t="s">
        <v>452</v>
      </c>
      <c r="AI305" s="97">
        <v>14</v>
      </c>
      <c r="AJ305" s="97" t="s">
        <v>4338</v>
      </c>
      <c r="AK305" s="115">
        <v>-448308</v>
      </c>
      <c r="AL305" s="97">
        <v>6</v>
      </c>
      <c r="AM305" s="97">
        <f t="shared" si="92"/>
        <v>877</v>
      </c>
      <c r="AN305" s="97">
        <f t="shared" si="91"/>
        <v>-393166116</v>
      </c>
      <c r="AO305" s="97"/>
    </row>
    <row r="306" spans="7:41">
      <c r="G306" s="205"/>
      <c r="H306" s="111"/>
      <c r="R306" s="97" t="s">
        <v>5484</v>
      </c>
      <c r="S306" s="93">
        <v>50000000</v>
      </c>
      <c r="U306" s="205" t="s">
        <v>5111</v>
      </c>
      <c r="V306" s="205">
        <v>963</v>
      </c>
      <c r="W306" s="111">
        <v>477.92200000000003</v>
      </c>
      <c r="X306" s="111">
        <f t="shared" si="89"/>
        <v>460238.886</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4209</v>
      </c>
      <c r="S307" s="93">
        <v>2749471.1668000002</v>
      </c>
      <c r="U307" s="205" t="s">
        <v>5112</v>
      </c>
      <c r="V307" s="205">
        <v>2815</v>
      </c>
      <c r="W307" s="111">
        <v>461.79</v>
      </c>
      <c r="X307" s="111">
        <f t="shared" si="89"/>
        <v>1299938.8500000001</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-680940.07019999996</v>
      </c>
      <c r="U308" s="205" t="s">
        <v>5112</v>
      </c>
      <c r="V308" s="205">
        <v>1581</v>
      </c>
      <c r="W308" s="111">
        <v>461.79</v>
      </c>
      <c r="X308" s="111">
        <f t="shared" si="89"/>
        <v>730089.99</v>
      </c>
      <c r="Y308" s="36" t="s">
        <v>452</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5573</v>
      </c>
      <c r="S309" s="93">
        <v>-48684800.338199995</v>
      </c>
      <c r="U309" s="205" t="s">
        <v>975</v>
      </c>
      <c r="V309" s="205">
        <v>41</v>
      </c>
      <c r="W309" s="111">
        <v>514.48099999999999</v>
      </c>
      <c r="X309" s="111">
        <f t="shared" si="89"/>
        <v>21093.721000000001</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5597</v>
      </c>
      <c r="S310" s="93">
        <v>1500000</v>
      </c>
      <c r="T310" t="s">
        <v>25</v>
      </c>
      <c r="U310" s="205" t="s">
        <v>4253</v>
      </c>
      <c r="V310" s="205">
        <v>71</v>
      </c>
      <c r="W310" s="111">
        <v>482.57</v>
      </c>
      <c r="X310" s="111">
        <f t="shared" si="89"/>
        <v>34262.47</v>
      </c>
      <c r="Y310" s="36" t="s">
        <v>5097</v>
      </c>
      <c r="AI310" s="191">
        <v>19</v>
      </c>
      <c r="AJ310" s="191" t="s">
        <v>4397</v>
      </c>
      <c r="AK310" s="192">
        <v>-604152</v>
      </c>
      <c r="AL310" s="191">
        <v>0</v>
      </c>
      <c r="AM310" s="191">
        <f t="shared" si="92"/>
        <v>861</v>
      </c>
      <c r="AN310" s="191">
        <f t="shared" si="91"/>
        <v>-520174872</v>
      </c>
      <c r="AO310" s="191" t="s">
        <v>649</v>
      </c>
    </row>
    <row r="311" spans="7:41">
      <c r="G311" s="205"/>
      <c r="H311" s="1"/>
      <c r="R311" s="97" t="s">
        <v>963</v>
      </c>
      <c r="S311" s="93">
        <v>11221062</v>
      </c>
      <c r="T311" t="s">
        <v>25</v>
      </c>
      <c r="U311" s="205" t="s">
        <v>5132</v>
      </c>
      <c r="V311" s="205">
        <v>-250</v>
      </c>
      <c r="W311" s="111">
        <v>487.125</v>
      </c>
      <c r="X311" s="111">
        <f t="shared" si="89"/>
        <v>-121781.25</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1559374900.5886345</v>
      </c>
      <c r="R312" s="97" t="s">
        <v>5803</v>
      </c>
      <c r="S312" s="93">
        <v>20031495.928431001</v>
      </c>
      <c r="U312" s="205" t="s">
        <v>5132</v>
      </c>
      <c r="V312" s="205">
        <v>250</v>
      </c>
      <c r="W312" s="111">
        <v>487.125</v>
      </c>
      <c r="X312" s="111">
        <f t="shared" si="89"/>
        <v>121781.25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5814</v>
      </c>
      <c r="S313" s="93">
        <v>-154353015.43906799</v>
      </c>
      <c r="T313" t="s">
        <v>25</v>
      </c>
      <c r="U313" s="205" t="s">
        <v>5140</v>
      </c>
      <c r="V313" s="205">
        <v>-1439</v>
      </c>
      <c r="W313" s="111">
        <v>486.53068999999999</v>
      </c>
      <c r="X313" s="111">
        <f t="shared" si="89"/>
        <v>-700117.66290999996</v>
      </c>
      <c r="Y313" s="36" t="s">
        <v>4406</v>
      </c>
      <c r="AI313" s="97">
        <v>22</v>
      </c>
      <c r="AJ313" s="97" t="s">
        <v>4399</v>
      </c>
      <c r="AK313" s="115">
        <v>-189619</v>
      </c>
      <c r="AL313" s="97">
        <v>15</v>
      </c>
      <c r="AM313" s="97">
        <f t="shared" si="92"/>
        <v>857</v>
      </c>
      <c r="AN313" s="97">
        <f t="shared" si="91"/>
        <v>-162503483</v>
      </c>
      <c r="AO313" s="97"/>
    </row>
    <row r="314" spans="7:41">
      <c r="P314" t="s">
        <v>25</v>
      </c>
      <c r="R314" s="97" t="s">
        <v>5833</v>
      </c>
      <c r="S314" s="93">
        <v>16643927.89773</v>
      </c>
      <c r="T314" t="s">
        <v>25</v>
      </c>
      <c r="U314" s="205" t="s">
        <v>5140</v>
      </c>
      <c r="V314" s="205">
        <v>411</v>
      </c>
      <c r="W314" s="111">
        <v>486.53068999999999</v>
      </c>
      <c r="X314" s="111">
        <f t="shared" si="89"/>
        <v>199964.11358999999</v>
      </c>
      <c r="Y314" s="36" t="s">
        <v>743</v>
      </c>
      <c r="Z314" t="s">
        <v>25</v>
      </c>
      <c r="AI314" s="191">
        <v>23</v>
      </c>
      <c r="AJ314" s="191" t="s">
        <v>4459</v>
      </c>
      <c r="AK314" s="186">
        <v>7100</v>
      </c>
      <c r="AL314" s="191">
        <v>0</v>
      </c>
      <c r="AM314" s="147">
        <f t="shared" si="92"/>
        <v>842</v>
      </c>
      <c r="AN314" s="191">
        <f t="shared" si="91"/>
        <v>5978200</v>
      </c>
      <c r="AO314" s="191" t="s">
        <v>649</v>
      </c>
    </row>
    <row r="315" spans="7:41">
      <c r="R315" s="97" t="s">
        <v>5834</v>
      </c>
      <c r="S315" s="93">
        <v>33355467.51292</v>
      </c>
      <c r="U315" s="205" t="s">
        <v>5110</v>
      </c>
      <c r="V315" s="205">
        <v>-4290</v>
      </c>
      <c r="W315" s="111">
        <v>497.57670000000002</v>
      </c>
      <c r="X315" s="111">
        <f t="shared" si="89"/>
        <v>-2134604.0430000001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6379</v>
      </c>
      <c r="S316" s="93">
        <v>30000000</v>
      </c>
      <c r="T316" t="s">
        <v>25</v>
      </c>
      <c r="U316" s="205" t="s">
        <v>5147</v>
      </c>
      <c r="V316" s="205">
        <v>-644</v>
      </c>
      <c r="W316" s="111">
        <v>494.76464499999997</v>
      </c>
      <c r="X316" s="111">
        <f t="shared" si="89"/>
        <v>-318628.43137999997</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6392</v>
      </c>
      <c r="S317" s="93">
        <v>6000000</v>
      </c>
      <c r="U317" s="205" t="s">
        <v>5150</v>
      </c>
      <c r="V317" s="205">
        <v>-112</v>
      </c>
      <c r="W317" s="111">
        <v>485.78</v>
      </c>
      <c r="X317" s="111">
        <f t="shared" si="89"/>
        <v>-54407.360000000001</v>
      </c>
      <c r="Y317" s="36" t="s">
        <v>452</v>
      </c>
      <c r="AI317" s="97">
        <v>26</v>
      </c>
      <c r="AJ317" s="97" t="s">
        <v>4494</v>
      </c>
      <c r="AK317" s="115">
        <v>-372326</v>
      </c>
      <c r="AL317" s="97">
        <v>21</v>
      </c>
      <c r="AM317" s="97">
        <f t="shared" si="92"/>
        <v>835</v>
      </c>
      <c r="AN317" s="20">
        <f t="shared" si="91"/>
        <v>-310892210</v>
      </c>
      <c r="AO317" s="97"/>
    </row>
    <row r="318" spans="7:41">
      <c r="G318" s="94"/>
      <c r="H318" s="9" t="s">
        <v>5405</v>
      </c>
      <c r="R318" s="97" t="s">
        <v>6476</v>
      </c>
      <c r="S318" s="93">
        <v>126128.77475900001</v>
      </c>
      <c r="U318" s="205" t="s">
        <v>5150</v>
      </c>
      <c r="V318" s="205">
        <v>123</v>
      </c>
      <c r="W318" s="111">
        <v>485.78</v>
      </c>
      <c r="X318" s="111">
        <f t="shared" si="89"/>
        <v>59750.939999999995</v>
      </c>
      <c r="Y318" s="36" t="s">
        <v>743</v>
      </c>
      <c r="AI318" s="97">
        <v>27</v>
      </c>
      <c r="AJ318" s="97" t="s">
        <v>4541</v>
      </c>
      <c r="AK318" s="115">
        <v>235062</v>
      </c>
      <c r="AL318" s="97">
        <v>0</v>
      </c>
      <c r="AM318" s="97">
        <f t="shared" si="92"/>
        <v>814</v>
      </c>
      <c r="AN318" s="20">
        <f t="shared" si="91"/>
        <v>191340468</v>
      </c>
      <c r="AO318" s="97"/>
    </row>
    <row r="319" spans="7:41">
      <c r="G319" s="94"/>
      <c r="H319" s="9" t="s">
        <v>1069</v>
      </c>
      <c r="R319" s="97" t="s">
        <v>7058</v>
      </c>
      <c r="S319" s="93">
        <v>7000000</v>
      </c>
      <c r="U319" s="205" t="s">
        <v>5150</v>
      </c>
      <c r="V319" s="205">
        <v>-123</v>
      </c>
      <c r="W319" s="111">
        <v>485.78</v>
      </c>
      <c r="X319" s="111">
        <f t="shared" si="89"/>
        <v>-59750.939999999995</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T320" t="s">
        <v>25</v>
      </c>
      <c r="U320" s="205" t="s">
        <v>5193</v>
      </c>
      <c r="V320" s="205">
        <v>32367</v>
      </c>
      <c r="W320" s="111">
        <v>556.12900000000002</v>
      </c>
      <c r="X320" s="111">
        <f t="shared" si="89"/>
        <v>18000227.343000002</v>
      </c>
      <c r="Y320" s="36" t="s">
        <v>452</v>
      </c>
      <c r="AI320" s="147">
        <v>29</v>
      </c>
      <c r="AJ320" s="147" t="s">
        <v>4559</v>
      </c>
      <c r="AK320" s="186">
        <v>450000</v>
      </c>
      <c r="AL320" s="147">
        <v>0</v>
      </c>
      <c r="AM320" s="97">
        <f t="shared" si="92"/>
        <v>805</v>
      </c>
      <c r="AN320" s="147">
        <f t="shared" si="91"/>
        <v>362250000</v>
      </c>
      <c r="AO320" s="147" t="s">
        <v>649</v>
      </c>
    </row>
    <row r="321" spans="8:45">
      <c r="H321" s="9" t="s">
        <v>5505</v>
      </c>
      <c r="R321" s="97"/>
      <c r="S321" s="93"/>
      <c r="U321" s="205" t="s">
        <v>5209</v>
      </c>
      <c r="V321" s="205">
        <v>1254</v>
      </c>
      <c r="W321" s="111">
        <v>558.24400000000003</v>
      </c>
      <c r="X321" s="111">
        <f t="shared" si="89"/>
        <v>700037.97600000002</v>
      </c>
      <c r="Y321" s="36" t="s">
        <v>4406</v>
      </c>
      <c r="AI321" s="20">
        <v>30</v>
      </c>
      <c r="AJ321" s="20" t="s">
        <v>4559</v>
      </c>
      <c r="AK321" s="115">
        <v>450000</v>
      </c>
      <c r="AL321" s="20">
        <v>22</v>
      </c>
      <c r="AM321" s="97">
        <f>AL321+AM322</f>
        <v>805</v>
      </c>
      <c r="AN321" s="20">
        <f t="shared" si="91"/>
        <v>362250000</v>
      </c>
      <c r="AO321" s="20"/>
    </row>
    <row r="322" spans="8:45">
      <c r="H322" s="279" t="s">
        <v>5506</v>
      </c>
      <c r="R322" s="97"/>
      <c r="S322" s="93"/>
      <c r="U322" s="166" t="s">
        <v>5209</v>
      </c>
      <c r="V322" s="205">
        <v>-358</v>
      </c>
      <c r="W322" s="111">
        <v>558.24400000000003</v>
      </c>
      <c r="X322" s="111">
        <f t="shared" si="89"/>
        <v>-199851.35200000001</v>
      </c>
      <c r="Y322" s="36" t="s">
        <v>743</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c r="U323" s="187" t="s">
        <v>5228</v>
      </c>
      <c r="V323" s="187">
        <v>63259</v>
      </c>
      <c r="W323" s="186">
        <v>632.31960000000004</v>
      </c>
      <c r="X323" s="186">
        <f t="shared" si="89"/>
        <v>39999905.576400004</v>
      </c>
      <c r="Y323" s="258" t="s">
        <v>1069</v>
      </c>
      <c r="AI323" s="119">
        <v>32</v>
      </c>
      <c r="AJ323" s="119" t="s">
        <v>4619</v>
      </c>
      <c r="AK323" s="77">
        <v>288936</v>
      </c>
      <c r="AL323" s="119">
        <v>3</v>
      </c>
      <c r="AM323" s="119">
        <f t="shared" si="93"/>
        <v>783</v>
      </c>
      <c r="AN323" s="119">
        <f t="shared" si="94"/>
        <v>226236888</v>
      </c>
      <c r="AO323" s="200" t="s">
        <v>4630</v>
      </c>
    </row>
    <row r="324" spans="8:45">
      <c r="H324" s="9" t="s">
        <v>5507</v>
      </c>
      <c r="R324" s="97" t="s">
        <v>25</v>
      </c>
      <c r="S324" s="93"/>
      <c r="U324" s="19" t="s">
        <v>5232</v>
      </c>
      <c r="V324" s="19">
        <v>-1278</v>
      </c>
      <c r="W324" s="115">
        <v>625.98</v>
      </c>
      <c r="X324" s="115">
        <f t="shared" si="89"/>
        <v>-800002.44000000006</v>
      </c>
      <c r="Y324" s="259" t="s">
        <v>5233</v>
      </c>
      <c r="AI324" s="119">
        <v>33</v>
      </c>
      <c r="AJ324" s="119" t="s">
        <v>4628</v>
      </c>
      <c r="AK324" s="77">
        <v>17962491</v>
      </c>
      <c r="AL324" s="119">
        <v>1</v>
      </c>
      <c r="AM324" s="119">
        <f t="shared" si="93"/>
        <v>780</v>
      </c>
      <c r="AN324" s="119">
        <f t="shared" si="94"/>
        <v>14010742980</v>
      </c>
      <c r="AO324" s="119" t="s">
        <v>4635</v>
      </c>
    </row>
    <row r="325" spans="8:45">
      <c r="H325" s="9" t="s">
        <v>5508</v>
      </c>
      <c r="R325" s="97"/>
      <c r="S325" s="93">
        <f>SUM(S261:S324)</f>
        <v>158842622.43317199</v>
      </c>
      <c r="U325" s="19" t="s">
        <v>5237</v>
      </c>
      <c r="V325" s="19">
        <v>32049</v>
      </c>
      <c r="W325" s="115">
        <v>624.04600000000005</v>
      </c>
      <c r="X325" s="115">
        <f t="shared" si="89"/>
        <v>20000050.254000001</v>
      </c>
      <c r="Y325" s="259" t="s">
        <v>5102</v>
      </c>
      <c r="AA325" t="s">
        <v>25</v>
      </c>
      <c r="AI325" s="119">
        <v>34</v>
      </c>
      <c r="AJ325" s="119" t="s">
        <v>3666</v>
      </c>
      <c r="AK325" s="77">
        <v>18363511</v>
      </c>
      <c r="AL325" s="119">
        <v>1</v>
      </c>
      <c r="AM325" s="119">
        <f t="shared" si="93"/>
        <v>779</v>
      </c>
      <c r="AN325" s="119">
        <f t="shared" si="94"/>
        <v>14305175069</v>
      </c>
      <c r="AO325" s="119" t="s">
        <v>4635</v>
      </c>
    </row>
    <row r="326" spans="8:45" ht="30">
      <c r="H326" s="9" t="s">
        <v>5535</v>
      </c>
      <c r="S326" s="97" t="s">
        <v>6</v>
      </c>
      <c r="U326" s="19" t="s">
        <v>5244</v>
      </c>
      <c r="V326" s="19">
        <v>45094</v>
      </c>
      <c r="W326" s="115">
        <v>614.13559759999998</v>
      </c>
      <c r="X326" s="115">
        <f t="shared" si="89"/>
        <v>27693830.6381744</v>
      </c>
      <c r="Y326" s="259" t="s">
        <v>5246</v>
      </c>
      <c r="Z326" t="s">
        <v>25</v>
      </c>
      <c r="AI326" s="119">
        <v>35</v>
      </c>
      <c r="AJ326" s="119" t="s">
        <v>4640</v>
      </c>
      <c r="AK326" s="77">
        <v>23622417</v>
      </c>
      <c r="AL326" s="119">
        <v>5</v>
      </c>
      <c r="AM326" s="119">
        <f t="shared" si="93"/>
        <v>778</v>
      </c>
      <c r="AN326" s="119">
        <f t="shared" si="94"/>
        <v>18378240426</v>
      </c>
      <c r="AO326" s="119" t="s">
        <v>4642</v>
      </c>
    </row>
    <row r="327" spans="8:45">
      <c r="H327" s="279"/>
      <c r="S327" t="s">
        <v>25</v>
      </c>
      <c r="U327" s="19" t="s">
        <v>5271</v>
      </c>
      <c r="V327" s="19">
        <v>-11804</v>
      </c>
      <c r="W327" s="115">
        <v>762.46640000000002</v>
      </c>
      <c r="X327" s="115">
        <f t="shared" si="89"/>
        <v>-9000153.3856000006</v>
      </c>
      <c r="Y327" s="259" t="s">
        <v>5273</v>
      </c>
      <c r="AI327" s="119">
        <v>36</v>
      </c>
      <c r="AJ327" s="119" t="s">
        <v>4653</v>
      </c>
      <c r="AK327" s="77">
        <v>82496108</v>
      </c>
      <c r="AL327" s="119">
        <v>1</v>
      </c>
      <c r="AM327" s="119">
        <f t="shared" si="93"/>
        <v>773</v>
      </c>
      <c r="AN327" s="119">
        <f t="shared" si="94"/>
        <v>63769491484</v>
      </c>
      <c r="AO327" s="119" t="s">
        <v>4656</v>
      </c>
    </row>
    <row r="328" spans="8:45">
      <c r="R328" s="97" t="s">
        <v>452</v>
      </c>
      <c r="U328" s="19" t="s">
        <v>5314</v>
      </c>
      <c r="V328" s="19">
        <v>844</v>
      </c>
      <c r="W328" s="115">
        <v>830</v>
      </c>
      <c r="X328" s="115">
        <f t="shared" si="89"/>
        <v>700520</v>
      </c>
      <c r="Y328" s="259" t="s">
        <v>4406</v>
      </c>
      <c r="Z328" t="s">
        <v>25</v>
      </c>
      <c r="AI328" s="119">
        <v>37</v>
      </c>
      <c r="AJ328" s="119" t="s">
        <v>4655</v>
      </c>
      <c r="AK328" s="77">
        <v>74657561</v>
      </c>
      <c r="AL328" s="119">
        <v>16</v>
      </c>
      <c r="AM328" s="119">
        <f t="shared" si="93"/>
        <v>772</v>
      </c>
      <c r="AN328" s="119">
        <f t="shared" si="94"/>
        <v>57635637092</v>
      </c>
      <c r="AO328" s="119" t="s">
        <v>4661</v>
      </c>
    </row>
    <row r="329" spans="8:45">
      <c r="R329" s="97" t="s">
        <v>4399</v>
      </c>
      <c r="S329" s="97"/>
      <c r="U329" s="19" t="s">
        <v>5318</v>
      </c>
      <c r="V329" s="19">
        <v>8662</v>
      </c>
      <c r="W329" s="115">
        <v>832.57011999999997</v>
      </c>
      <c r="X329" s="115">
        <f t="shared" si="89"/>
        <v>7211722.3794399993</v>
      </c>
      <c r="Y329" s="259" t="s">
        <v>5097</v>
      </c>
      <c r="AA329" t="s">
        <v>25</v>
      </c>
      <c r="AI329" s="97">
        <v>38</v>
      </c>
      <c r="AJ329" s="97" t="s">
        <v>4724</v>
      </c>
      <c r="AK329" s="115">
        <v>665000</v>
      </c>
      <c r="AL329" s="97">
        <v>0</v>
      </c>
      <c r="AM329" s="97">
        <f t="shared" si="93"/>
        <v>756</v>
      </c>
      <c r="AN329" s="20">
        <f t="shared" si="94"/>
        <v>502740000</v>
      </c>
      <c r="AO329" s="97"/>
    </row>
    <row r="330" spans="8:45" ht="30">
      <c r="R330" s="97" t="s">
        <v>4443</v>
      </c>
      <c r="S330" s="93">
        <v>63115000</v>
      </c>
      <c r="U330" s="19" t="s">
        <v>5319</v>
      </c>
      <c r="V330" s="19">
        <v>10253</v>
      </c>
      <c r="W330" s="115">
        <v>827.2568</v>
      </c>
      <c r="X330" s="115">
        <f t="shared" si="89"/>
        <v>8481863.9704</v>
      </c>
      <c r="Y330" s="259" t="s">
        <v>5322</v>
      </c>
      <c r="AB330" t="s">
        <v>25</v>
      </c>
      <c r="AI330" s="147">
        <v>39</v>
      </c>
      <c r="AJ330" s="147" t="s">
        <v>4724</v>
      </c>
      <c r="AK330" s="186">
        <v>665000</v>
      </c>
      <c r="AL330" s="147">
        <v>4</v>
      </c>
      <c r="AM330" s="191">
        <f t="shared" si="93"/>
        <v>756</v>
      </c>
      <c r="AN330" s="191">
        <f t="shared" si="94"/>
        <v>502740000</v>
      </c>
      <c r="AO330" s="191"/>
    </row>
    <row r="331" spans="8:45">
      <c r="R331" s="97" t="s">
        <v>4451</v>
      </c>
      <c r="S331" s="93">
        <v>13300000</v>
      </c>
      <c r="U331" s="229" t="s">
        <v>5323</v>
      </c>
      <c r="V331" s="229">
        <v>-33077</v>
      </c>
      <c r="W331" s="230">
        <v>786.02973999999995</v>
      </c>
      <c r="X331" s="230">
        <f t="shared" si="89"/>
        <v>-25999505.70998</v>
      </c>
      <c r="Y331" s="267" t="s">
        <v>5325</v>
      </c>
      <c r="AI331" s="20">
        <v>40</v>
      </c>
      <c r="AJ331" s="20" t="s">
        <v>4733</v>
      </c>
      <c r="AK331" s="115">
        <v>2000000</v>
      </c>
      <c r="AL331" s="20">
        <v>1</v>
      </c>
      <c r="AM331" s="97">
        <f t="shared" si="93"/>
        <v>752</v>
      </c>
      <c r="AN331" s="20">
        <f t="shared" si="94"/>
        <v>1504000000</v>
      </c>
      <c r="AO331" s="97"/>
    </row>
    <row r="332" spans="8:45">
      <c r="R332" s="97" t="s">
        <v>4549</v>
      </c>
      <c r="S332" s="93">
        <v>2269000</v>
      </c>
      <c r="U332" s="19" t="s">
        <v>5323</v>
      </c>
      <c r="V332" s="19">
        <v>-33077</v>
      </c>
      <c r="W332" s="115">
        <v>786.02973999999995</v>
      </c>
      <c r="X332" s="115">
        <f t="shared" si="89"/>
        <v>-25999505.70998</v>
      </c>
      <c r="Y332" s="259" t="s">
        <v>5326</v>
      </c>
      <c r="Z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4558</v>
      </c>
      <c r="S333" s="93">
        <v>25071612</v>
      </c>
      <c r="U333" s="19" t="s">
        <v>5323</v>
      </c>
      <c r="V333" s="19">
        <v>1983</v>
      </c>
      <c r="W333" s="115">
        <v>786.02973999999995</v>
      </c>
      <c r="X333" s="115">
        <f t="shared" si="89"/>
        <v>1558696.9744199999</v>
      </c>
      <c r="Y333" s="259" t="s">
        <v>5097</v>
      </c>
      <c r="AI333" s="147">
        <v>42</v>
      </c>
      <c r="AJ333" s="147" t="s">
        <v>4738</v>
      </c>
      <c r="AK333" s="186">
        <v>-433375</v>
      </c>
      <c r="AL333" s="147">
        <v>0</v>
      </c>
      <c r="AM333" s="147">
        <f t="shared" si="93"/>
        <v>751</v>
      </c>
      <c r="AN333" s="147">
        <f t="shared" si="95"/>
        <v>-325464625</v>
      </c>
      <c r="AO333" s="147" t="s">
        <v>4740</v>
      </c>
    </row>
    <row r="334" spans="8:45">
      <c r="R334" s="97" t="s">
        <v>4559</v>
      </c>
      <c r="S334" s="93">
        <v>42236984</v>
      </c>
      <c r="U334" s="229" t="s">
        <v>5327</v>
      </c>
      <c r="V334" s="229">
        <v>-119753</v>
      </c>
      <c r="W334" s="230">
        <v>800.81560000000002</v>
      </c>
      <c r="X334" s="230">
        <f t="shared" si="89"/>
        <v>-95900070.546800002</v>
      </c>
      <c r="Y334" s="267" t="s">
        <v>5325</v>
      </c>
      <c r="AI334" s="20">
        <v>43</v>
      </c>
      <c r="AJ334" s="20" t="s">
        <v>4738</v>
      </c>
      <c r="AK334" s="115">
        <v>28000000</v>
      </c>
      <c r="AL334" s="20">
        <v>1</v>
      </c>
      <c r="AM334" s="97">
        <f t="shared" si="93"/>
        <v>751</v>
      </c>
      <c r="AN334" s="20">
        <f t="shared" si="95"/>
        <v>21028000000</v>
      </c>
      <c r="AO334" s="97" t="s">
        <v>3873</v>
      </c>
    </row>
    <row r="335" spans="8:45">
      <c r="R335" s="97" t="s">
        <v>4580</v>
      </c>
      <c r="S335" s="93">
        <v>19663646</v>
      </c>
      <c r="U335" s="19" t="s">
        <v>5327</v>
      </c>
      <c r="V335" s="19">
        <v>-119753</v>
      </c>
      <c r="W335" s="115">
        <v>800.81560000000002</v>
      </c>
      <c r="X335" s="115">
        <f t="shared" si="89"/>
        <v>-95900070.546800002</v>
      </c>
      <c r="Y335" s="259" t="s">
        <v>5326</v>
      </c>
      <c r="AI335" s="20">
        <v>44</v>
      </c>
      <c r="AJ335" s="20" t="s">
        <v>4747</v>
      </c>
      <c r="AK335" s="115">
        <v>160000</v>
      </c>
      <c r="AL335" s="20">
        <v>0</v>
      </c>
      <c r="AM335" s="97">
        <f t="shared" si="93"/>
        <v>750</v>
      </c>
      <c r="AN335" s="20">
        <f t="shared" si="95"/>
        <v>120000000</v>
      </c>
      <c r="AO335" s="97"/>
    </row>
    <row r="336" spans="8:45">
      <c r="R336" s="97" t="s">
        <v>4591</v>
      </c>
      <c r="S336" s="93">
        <v>4374525</v>
      </c>
      <c r="T336" s="112"/>
      <c r="U336" s="19" t="s">
        <v>5327</v>
      </c>
      <c r="V336" s="19">
        <v>11291</v>
      </c>
      <c r="W336" s="115">
        <v>800.81560000000002</v>
      </c>
      <c r="X336" s="115">
        <f t="shared" si="89"/>
        <v>9042008.9396000002</v>
      </c>
      <c r="Y336" s="259" t="s">
        <v>452</v>
      </c>
      <c r="AB336" t="s">
        <v>25</v>
      </c>
      <c r="AI336" s="147">
        <v>45</v>
      </c>
      <c r="AJ336" s="147" t="s">
        <v>4747</v>
      </c>
      <c r="AK336" s="186">
        <v>70000</v>
      </c>
      <c r="AL336" s="147">
        <v>9</v>
      </c>
      <c r="AM336" s="147">
        <f t="shared" si="93"/>
        <v>750</v>
      </c>
      <c r="AN336" s="147">
        <f t="shared" si="95"/>
        <v>52500000</v>
      </c>
      <c r="AO336" s="147"/>
      <c r="AS336" t="s">
        <v>25</v>
      </c>
    </row>
    <row r="337" spans="18:47">
      <c r="R337" s="97" t="s">
        <v>4593</v>
      </c>
      <c r="S337" s="93">
        <v>6550580</v>
      </c>
      <c r="U337" s="187" t="s">
        <v>5328</v>
      </c>
      <c r="V337" s="187">
        <v>-35361</v>
      </c>
      <c r="W337" s="186">
        <v>818.697</v>
      </c>
      <c r="X337" s="186">
        <f t="shared" si="89"/>
        <v>-28949944.616999999</v>
      </c>
      <c r="Y337" s="258" t="s">
        <v>5325</v>
      </c>
      <c r="Z337" t="s">
        <v>25</v>
      </c>
      <c r="AI337" s="20">
        <v>46</v>
      </c>
      <c r="AJ337" s="20" t="s">
        <v>4753</v>
      </c>
      <c r="AK337" s="115">
        <v>850000</v>
      </c>
      <c r="AL337" s="20">
        <v>0</v>
      </c>
      <c r="AM337" s="97">
        <f t="shared" si="93"/>
        <v>741</v>
      </c>
      <c r="AN337" s="20">
        <f t="shared" si="95"/>
        <v>629850000</v>
      </c>
      <c r="AO337" s="97"/>
      <c r="AT337" t="s">
        <v>25</v>
      </c>
    </row>
    <row r="338" spans="18:47">
      <c r="R338" s="97" t="s">
        <v>4606</v>
      </c>
      <c r="S338" s="93">
        <v>7054895</v>
      </c>
      <c r="U338" s="19" t="s">
        <v>5328</v>
      </c>
      <c r="V338" s="19">
        <v>-35361</v>
      </c>
      <c r="W338" s="115">
        <v>818.697</v>
      </c>
      <c r="X338" s="115">
        <f t="shared" si="89"/>
        <v>-28949944.616999999</v>
      </c>
      <c r="Y338" s="259" t="s">
        <v>5326</v>
      </c>
      <c r="Z338" t="s">
        <v>25</v>
      </c>
      <c r="AA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4617</v>
      </c>
      <c r="S339" s="93">
        <v>2145814</v>
      </c>
      <c r="U339" s="19" t="s">
        <v>5328</v>
      </c>
      <c r="V339" s="19">
        <v>116</v>
      </c>
      <c r="W339" s="115">
        <v>818.697</v>
      </c>
      <c r="X339" s="115">
        <f t="shared" si="89"/>
        <v>94968.851999999999</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4619</v>
      </c>
      <c r="S340" s="93">
        <v>4369730</v>
      </c>
      <c r="U340" s="19" t="s">
        <v>5332</v>
      </c>
      <c r="V340" s="19">
        <v>48633</v>
      </c>
      <c r="W340" s="115">
        <v>822.47199999999998</v>
      </c>
      <c r="X340" s="115">
        <f t="shared" si="89"/>
        <v>39999280.776000001</v>
      </c>
      <c r="Y340" s="259" t="s">
        <v>5335</v>
      </c>
      <c r="AB340" t="s">
        <v>25</v>
      </c>
      <c r="AI340" s="20">
        <v>49</v>
      </c>
      <c r="AJ340" s="20" t="s">
        <v>4834</v>
      </c>
      <c r="AK340" s="115">
        <v>1100000</v>
      </c>
      <c r="AL340" s="20">
        <v>1</v>
      </c>
      <c r="AM340" s="20">
        <f t="shared" si="96"/>
        <v>710</v>
      </c>
      <c r="AN340" s="20">
        <f t="shared" si="97"/>
        <v>781000000</v>
      </c>
      <c r="AO340" s="20"/>
    </row>
    <row r="341" spans="18:47">
      <c r="R341" s="97" t="s">
        <v>4628</v>
      </c>
      <c r="S341" s="93">
        <v>8739459</v>
      </c>
      <c r="U341" s="19" t="s">
        <v>5332</v>
      </c>
      <c r="V341" s="19">
        <v>3412</v>
      </c>
      <c r="W341" s="115">
        <v>822.47199999999998</v>
      </c>
      <c r="X341" s="115">
        <f t="shared" si="89"/>
        <v>2806274.4640000002</v>
      </c>
      <c r="Y341" s="259" t="s">
        <v>5337</v>
      </c>
      <c r="AI341" s="20">
        <v>50</v>
      </c>
      <c r="AJ341" s="20" t="s">
        <v>4835</v>
      </c>
      <c r="AK341" s="115">
        <v>450000</v>
      </c>
      <c r="AL341" s="20">
        <v>0</v>
      </c>
      <c r="AM341" s="20">
        <f t="shared" si="96"/>
        <v>709</v>
      </c>
      <c r="AN341" s="20">
        <f t="shared" si="97"/>
        <v>319050000</v>
      </c>
      <c r="AO341" s="20"/>
    </row>
    <row r="342" spans="18:47">
      <c r="R342" s="97" t="s">
        <v>3666</v>
      </c>
      <c r="S342" s="93">
        <v>6667654</v>
      </c>
      <c r="U342" s="19" t="s">
        <v>5333</v>
      </c>
      <c r="V342" s="19">
        <v>1531</v>
      </c>
      <c r="W342" s="115">
        <v>869.82500000000005</v>
      </c>
      <c r="X342" s="115">
        <f t="shared" si="89"/>
        <v>1331702.075</v>
      </c>
      <c r="Y342" s="259" t="s">
        <v>5338</v>
      </c>
      <c r="AI342" s="147">
        <v>51</v>
      </c>
      <c r="AJ342" s="147" t="s">
        <v>4835</v>
      </c>
      <c r="AK342" s="186">
        <v>550000</v>
      </c>
      <c r="AL342" s="147">
        <v>1</v>
      </c>
      <c r="AM342" s="147">
        <f t="shared" si="96"/>
        <v>709</v>
      </c>
      <c r="AN342" s="147">
        <f t="shared" si="97"/>
        <v>389950000</v>
      </c>
      <c r="AO342" s="147"/>
    </row>
    <row r="343" spans="18:47">
      <c r="R343" s="97" t="s">
        <v>4640</v>
      </c>
      <c r="S343" s="93">
        <v>8981245</v>
      </c>
      <c r="U343" s="19" t="s">
        <v>5341</v>
      </c>
      <c r="V343" s="19">
        <v>1019</v>
      </c>
      <c r="W343" s="115">
        <v>835.36580000000004</v>
      </c>
      <c r="X343" s="115">
        <f t="shared" si="89"/>
        <v>851237.75020000001</v>
      </c>
      <c r="Y343" s="259" t="s">
        <v>452</v>
      </c>
      <c r="AI343" s="147">
        <v>52</v>
      </c>
      <c r="AJ343" s="147" t="s">
        <v>4837</v>
      </c>
      <c r="AK343" s="186">
        <v>1000000</v>
      </c>
      <c r="AL343" s="147">
        <v>8</v>
      </c>
      <c r="AM343" s="147">
        <f t="shared" si="96"/>
        <v>708</v>
      </c>
      <c r="AN343" s="147">
        <f t="shared" si="97"/>
        <v>708000000</v>
      </c>
      <c r="AO343" s="147"/>
    </row>
    <row r="344" spans="18:47">
      <c r="R344" s="97" t="s">
        <v>4643</v>
      </c>
      <c r="S344" s="93">
        <v>9181756</v>
      </c>
      <c r="U344" s="187" t="s">
        <v>5347</v>
      </c>
      <c r="V344" s="187">
        <v>2316</v>
      </c>
      <c r="W344" s="186">
        <v>818.697</v>
      </c>
      <c r="X344" s="186">
        <f t="shared" si="89"/>
        <v>1896102.2520000001</v>
      </c>
      <c r="Y344" s="258" t="s">
        <v>5350</v>
      </c>
      <c r="AI344" s="20">
        <v>53</v>
      </c>
      <c r="AJ344" s="20" t="s">
        <v>4846</v>
      </c>
      <c r="AK344" s="115">
        <v>-2668880</v>
      </c>
      <c r="AL344" s="20">
        <v>0</v>
      </c>
      <c r="AM344" s="20">
        <f t="shared" si="96"/>
        <v>700</v>
      </c>
      <c r="AN344" s="20">
        <f t="shared" si="97"/>
        <v>-1868216000</v>
      </c>
      <c r="AO344" s="20" t="s">
        <v>4848</v>
      </c>
    </row>
    <row r="345" spans="18:47">
      <c r="R345" s="97" t="s">
        <v>4655</v>
      </c>
      <c r="S345" s="93">
        <v>11811208</v>
      </c>
      <c r="U345" s="19" t="s">
        <v>5353</v>
      </c>
      <c r="V345" s="19">
        <v>315</v>
      </c>
      <c r="W345" s="115">
        <v>680</v>
      </c>
      <c r="X345" s="115">
        <f t="shared" si="89"/>
        <v>214200</v>
      </c>
      <c r="Y345" s="259" t="s">
        <v>5097</v>
      </c>
      <c r="AI345" s="147">
        <v>54</v>
      </c>
      <c r="AJ345" s="147" t="s">
        <v>4846</v>
      </c>
      <c r="AK345" s="186">
        <v>-1528620</v>
      </c>
      <c r="AL345" s="147">
        <v>0</v>
      </c>
      <c r="AM345" s="147">
        <f t="shared" si="96"/>
        <v>700</v>
      </c>
      <c r="AN345" s="147">
        <f t="shared" si="97"/>
        <v>-1070034000</v>
      </c>
      <c r="AO345" s="147" t="s">
        <v>4848</v>
      </c>
    </row>
    <row r="346" spans="18:47">
      <c r="R346" s="97" t="s">
        <v>4662</v>
      </c>
      <c r="S346" s="93">
        <v>41248054</v>
      </c>
      <c r="U346" s="19" t="s">
        <v>5375</v>
      </c>
      <c r="V346" s="19">
        <v>832</v>
      </c>
      <c r="W346" s="115">
        <v>784.36500000000001</v>
      </c>
      <c r="X346" s="115">
        <f t="shared" si="89"/>
        <v>652591.68000000005</v>
      </c>
      <c r="Y346" s="259" t="s">
        <v>5097</v>
      </c>
      <c r="Z346" t="s">
        <v>25</v>
      </c>
      <c r="AI346" s="20">
        <v>55</v>
      </c>
      <c r="AJ346" s="20" t="s">
        <v>4846</v>
      </c>
      <c r="AK346" s="115">
        <v>50000000</v>
      </c>
      <c r="AL346" s="20">
        <v>4</v>
      </c>
      <c r="AM346" s="20">
        <f t="shared" si="96"/>
        <v>700</v>
      </c>
      <c r="AN346" s="20">
        <f t="shared" si="97"/>
        <v>35000000000</v>
      </c>
      <c r="AO346" s="20"/>
    </row>
    <row r="347" spans="18:47">
      <c r="R347" s="97" t="s">
        <v>4668</v>
      </c>
      <c r="S347" s="93">
        <v>37328780</v>
      </c>
      <c r="U347" s="19" t="s">
        <v>5418</v>
      </c>
      <c r="V347" s="19">
        <v>382</v>
      </c>
      <c r="W347" s="115">
        <v>1450.6065000000001</v>
      </c>
      <c r="X347" s="115">
        <f t="shared" si="89"/>
        <v>554131.68300000008</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4724</v>
      </c>
      <c r="S348" s="93">
        <v>50000000</v>
      </c>
      <c r="U348" s="19" t="s">
        <v>5419</v>
      </c>
      <c r="V348" s="19">
        <v>50047</v>
      </c>
      <c r="W348" s="115">
        <v>1406.14</v>
      </c>
      <c r="X348" s="115">
        <f t="shared" si="89"/>
        <v>70373088.579999998</v>
      </c>
      <c r="Y348" s="259" t="s">
        <v>5097</v>
      </c>
      <c r="AA348" t="s">
        <v>25</v>
      </c>
      <c r="AI348" s="20">
        <v>57</v>
      </c>
      <c r="AJ348" s="20" t="s">
        <v>4861</v>
      </c>
      <c r="AK348" s="115">
        <v>2000000</v>
      </c>
      <c r="AL348" s="20">
        <v>3</v>
      </c>
      <c r="AM348" s="20">
        <f t="shared" si="98"/>
        <v>692</v>
      </c>
      <c r="AN348" s="20">
        <f t="shared" si="99"/>
        <v>1384000000</v>
      </c>
      <c r="AO348" s="20"/>
    </row>
    <row r="349" spans="18:47">
      <c r="R349" s="97" t="s">
        <v>4733</v>
      </c>
      <c r="S349" s="93">
        <v>68656</v>
      </c>
      <c r="U349" s="19" t="s">
        <v>5420</v>
      </c>
      <c r="V349" s="19">
        <v>846</v>
      </c>
      <c r="W349" s="115">
        <v>1441.6724569999999</v>
      </c>
      <c r="X349" s="115">
        <f t="shared" si="89"/>
        <v>1219654.8986219999</v>
      </c>
      <c r="Y349" s="259" t="s">
        <v>5097</v>
      </c>
      <c r="Z349" t="s">
        <v>25</v>
      </c>
      <c r="AA349" t="s">
        <v>25</v>
      </c>
      <c r="AI349" s="20">
        <v>58</v>
      </c>
      <c r="AJ349" s="20" t="s">
        <v>4864</v>
      </c>
      <c r="AK349" s="115">
        <v>100000</v>
      </c>
      <c r="AL349" s="20">
        <v>4</v>
      </c>
      <c r="AM349" s="20">
        <f t="shared" si="98"/>
        <v>689</v>
      </c>
      <c r="AN349" s="20">
        <f t="shared" si="99"/>
        <v>68900000</v>
      </c>
      <c r="AO349" s="20" t="s">
        <v>3873</v>
      </c>
    </row>
    <row r="350" spans="18:47">
      <c r="R350" s="97" t="s">
        <v>4733</v>
      </c>
      <c r="S350" s="93">
        <v>4000236</v>
      </c>
      <c r="U350" s="19" t="s">
        <v>5421</v>
      </c>
      <c r="V350" s="19">
        <v>10573</v>
      </c>
      <c r="W350" s="115">
        <v>1451.825</v>
      </c>
      <c r="X350" s="115">
        <f t="shared" si="89"/>
        <v>15350145.725</v>
      </c>
      <c r="Y350" s="259" t="s">
        <v>5097</v>
      </c>
      <c r="Z350" t="s">
        <v>25</v>
      </c>
      <c r="AI350" s="20">
        <v>59</v>
      </c>
      <c r="AJ350" s="20" t="s">
        <v>4871</v>
      </c>
      <c r="AK350" s="115">
        <v>100000</v>
      </c>
      <c r="AL350" s="20">
        <v>7</v>
      </c>
      <c r="AM350" s="20">
        <f t="shared" si="98"/>
        <v>685</v>
      </c>
      <c r="AN350" s="20">
        <f t="shared" si="99"/>
        <v>68500000</v>
      </c>
      <c r="AO350" s="20"/>
    </row>
    <row r="351" spans="18:47" ht="30">
      <c r="R351" s="97" t="s">
        <v>4738</v>
      </c>
      <c r="S351" s="93">
        <v>2250000</v>
      </c>
      <c r="U351" s="19" t="s">
        <v>5422</v>
      </c>
      <c r="V351" s="19">
        <v>85</v>
      </c>
      <c r="W351" s="115">
        <v>1423.74</v>
      </c>
      <c r="X351" s="115">
        <f t="shared" si="89"/>
        <v>121017.9</v>
      </c>
      <c r="Y351" s="259" t="s">
        <v>5423</v>
      </c>
      <c r="Z351" t="s">
        <v>25</v>
      </c>
      <c r="AI351" s="20">
        <v>60</v>
      </c>
      <c r="AJ351" s="20" t="s">
        <v>4884</v>
      </c>
      <c r="AK351" s="115">
        <v>50000</v>
      </c>
      <c r="AL351" s="20">
        <v>0</v>
      </c>
      <c r="AM351" s="20">
        <f t="shared" si="98"/>
        <v>678</v>
      </c>
      <c r="AN351" s="20">
        <f t="shared" si="99"/>
        <v>33900000</v>
      </c>
      <c r="AO351" s="20"/>
    </row>
    <row r="352" spans="18:47" ht="30">
      <c r="R352" s="97" t="s">
        <v>4747</v>
      </c>
      <c r="S352" s="93">
        <v>-2512200</v>
      </c>
      <c r="U352" s="19" t="s">
        <v>5426</v>
      </c>
      <c r="V352" s="19">
        <v>738</v>
      </c>
      <c r="W352" s="115">
        <v>1388.87895</v>
      </c>
      <c r="X352" s="115">
        <f t="shared" si="89"/>
        <v>1024992.6651</v>
      </c>
      <c r="Y352" s="259" t="s">
        <v>5430</v>
      </c>
      <c r="Z352" t="s">
        <v>25</v>
      </c>
      <c r="AI352" s="147">
        <v>61</v>
      </c>
      <c r="AJ352" s="147" t="s">
        <v>4884</v>
      </c>
      <c r="AK352" s="186">
        <v>50000</v>
      </c>
      <c r="AL352" s="147">
        <v>3</v>
      </c>
      <c r="AM352" s="147">
        <f t="shared" si="98"/>
        <v>678</v>
      </c>
      <c r="AN352" s="147">
        <f t="shared" si="99"/>
        <v>33900000</v>
      </c>
      <c r="AO352" s="147"/>
    </row>
    <row r="353" spans="18:46">
      <c r="R353" s="97" t="s">
        <v>964</v>
      </c>
      <c r="S353" s="93">
        <v>300000</v>
      </c>
      <c r="U353" s="19" t="s">
        <v>5438</v>
      </c>
      <c r="V353" s="19">
        <v>1442</v>
      </c>
      <c r="W353" s="115">
        <v>1350.9547279999999</v>
      </c>
      <c r="X353" s="115">
        <f t="shared" si="89"/>
        <v>1948076.7177759998</v>
      </c>
      <c r="Y353" s="259" t="s">
        <v>5097</v>
      </c>
      <c r="AB353" t="s">
        <v>25</v>
      </c>
      <c r="AI353" s="20">
        <v>62</v>
      </c>
      <c r="AJ353" s="20" t="s">
        <v>4887</v>
      </c>
      <c r="AK353" s="115">
        <v>50000</v>
      </c>
      <c r="AL353" s="20">
        <v>0</v>
      </c>
      <c r="AM353" s="20">
        <f t="shared" si="98"/>
        <v>675</v>
      </c>
      <c r="AN353" s="20">
        <f t="shared" si="99"/>
        <v>33750000</v>
      </c>
      <c r="AO353" s="20"/>
    </row>
    <row r="354" spans="18:46">
      <c r="R354" s="97" t="s">
        <v>4753</v>
      </c>
      <c r="S354" s="93">
        <v>1100000</v>
      </c>
      <c r="U354" s="19" t="s">
        <v>5439</v>
      </c>
      <c r="V354" s="19">
        <v>36847</v>
      </c>
      <c r="W354" s="115">
        <v>1356.9658300000001</v>
      </c>
      <c r="X354" s="115">
        <f t="shared" si="89"/>
        <v>50000119.938010007</v>
      </c>
      <c r="Y354" s="259" t="s">
        <v>5102</v>
      </c>
      <c r="AI354" s="191">
        <v>63</v>
      </c>
      <c r="AJ354" s="191" t="s">
        <v>4887</v>
      </c>
      <c r="AK354" s="192">
        <v>50000</v>
      </c>
      <c r="AL354" s="191">
        <v>2</v>
      </c>
      <c r="AM354" s="191">
        <f t="shared" si="98"/>
        <v>675</v>
      </c>
      <c r="AN354" s="191">
        <f t="shared" si="99"/>
        <v>33750000</v>
      </c>
      <c r="AO354" s="191"/>
    </row>
    <row r="355" spans="18:46" ht="30">
      <c r="R355" s="97" t="s">
        <v>4773</v>
      </c>
      <c r="S355" s="93">
        <v>890000</v>
      </c>
      <c r="U355" s="19" t="s">
        <v>5440</v>
      </c>
      <c r="V355" s="19">
        <v>13738</v>
      </c>
      <c r="W355" s="115">
        <v>1455.82</v>
      </c>
      <c r="X355" s="115">
        <f t="shared" si="89"/>
        <v>20000055.16</v>
      </c>
      <c r="Y355" s="259" t="s">
        <v>5456</v>
      </c>
      <c r="Z355" t="s">
        <v>25</v>
      </c>
      <c r="AB355" t="s">
        <v>25</v>
      </c>
      <c r="AI355" s="20">
        <v>64</v>
      </c>
      <c r="AJ355" s="20" t="s">
        <v>4894</v>
      </c>
      <c r="AK355" s="115">
        <v>25000</v>
      </c>
      <c r="AL355" s="20">
        <v>0</v>
      </c>
      <c r="AM355" s="20">
        <f t="shared" si="98"/>
        <v>673</v>
      </c>
      <c r="AN355" s="20">
        <f t="shared" si="99"/>
        <v>16825000</v>
      </c>
      <c r="AO355" s="20"/>
    </row>
    <row r="356" spans="18:46">
      <c r="R356" s="97" t="s">
        <v>4774</v>
      </c>
      <c r="S356" s="93">
        <v>1000000</v>
      </c>
      <c r="U356" s="19" t="s">
        <v>5463</v>
      </c>
      <c r="V356" s="19">
        <v>3100</v>
      </c>
      <c r="W356" s="115">
        <v>1853.4507470000001</v>
      </c>
      <c r="X356" s="115">
        <f t="shared" si="89"/>
        <v>5745697.3157000002</v>
      </c>
      <c r="Y356" s="259" t="s">
        <v>5097</v>
      </c>
      <c r="Z356" t="s">
        <v>25</v>
      </c>
      <c r="AI356" s="147">
        <v>65</v>
      </c>
      <c r="AJ356" s="147" t="s">
        <v>4894</v>
      </c>
      <c r="AK356" s="186">
        <v>35000</v>
      </c>
      <c r="AL356" s="147">
        <v>7</v>
      </c>
      <c r="AM356" s="147">
        <f t="shared" si="98"/>
        <v>673</v>
      </c>
      <c r="AN356" s="147">
        <f t="shared" si="99"/>
        <v>23555000</v>
      </c>
      <c r="AO356" s="147"/>
    </row>
    <row r="357" spans="18:46">
      <c r="R357" s="97" t="s">
        <v>4774</v>
      </c>
      <c r="S357" s="93">
        <v>45436311</v>
      </c>
      <c r="U357" s="19" t="s">
        <v>5464</v>
      </c>
      <c r="V357" s="19">
        <v>480</v>
      </c>
      <c r="W357" s="115">
        <v>1891.9962069999999</v>
      </c>
      <c r="X357" s="115">
        <f t="shared" si="89"/>
        <v>908158.17935999995</v>
      </c>
      <c r="Y357" s="259" t="s">
        <v>5097</v>
      </c>
      <c r="Z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4786</v>
      </c>
      <c r="S358" s="93">
        <v>-3500000</v>
      </c>
      <c r="U358" s="19" t="s">
        <v>5465</v>
      </c>
      <c r="V358" s="19">
        <v>6522</v>
      </c>
      <c r="W358" s="115">
        <v>1938.4694340000001</v>
      </c>
      <c r="X358" s="115">
        <f t="shared" si="89"/>
        <v>12642697.648548001</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4821</v>
      </c>
      <c r="S359" s="93">
        <v>2520000</v>
      </c>
      <c r="U359" s="19" t="s">
        <v>5466</v>
      </c>
      <c r="V359" s="19">
        <v>6197</v>
      </c>
      <c r="W359" s="115">
        <v>1984.3985499999999</v>
      </c>
      <c r="X359" s="115">
        <f t="shared" si="89"/>
        <v>12297317.81435</v>
      </c>
      <c r="Y359" s="259" t="s">
        <v>5097</v>
      </c>
      <c r="AB359" t="s">
        <v>25</v>
      </c>
      <c r="AI359" s="20">
        <v>68</v>
      </c>
      <c r="AJ359" s="20" t="s">
        <v>4905</v>
      </c>
      <c r="AK359" s="115">
        <v>500000</v>
      </c>
      <c r="AL359" s="20">
        <v>1</v>
      </c>
      <c r="AM359" s="20">
        <f t="shared" si="100"/>
        <v>665</v>
      </c>
      <c r="AN359" s="20">
        <f t="shared" si="101"/>
        <v>332500000</v>
      </c>
      <c r="AO359" s="20"/>
    </row>
    <row r="360" spans="18:46">
      <c r="R360" s="97" t="s">
        <v>4834</v>
      </c>
      <c r="S360" s="93">
        <v>4900000</v>
      </c>
      <c r="U360" s="19" t="s">
        <v>5467</v>
      </c>
      <c r="V360" s="19">
        <v>4646</v>
      </c>
      <c r="W360" s="115">
        <v>1928.464023</v>
      </c>
      <c r="X360" s="115">
        <f t="shared" si="89"/>
        <v>8959643.8508579992</v>
      </c>
      <c r="Y360" s="259" t="s">
        <v>5097</v>
      </c>
      <c r="AA360" t="s">
        <v>25</v>
      </c>
      <c r="AB360" t="s">
        <v>25</v>
      </c>
      <c r="AI360" s="20">
        <v>69</v>
      </c>
      <c r="AJ360" s="20" t="s">
        <v>4909</v>
      </c>
      <c r="AK360" s="115">
        <v>850000</v>
      </c>
      <c r="AL360" s="20">
        <v>5</v>
      </c>
      <c r="AM360" s="20">
        <f t="shared" si="100"/>
        <v>664</v>
      </c>
      <c r="AN360" s="20">
        <f t="shared" si="101"/>
        <v>564400000</v>
      </c>
      <c r="AO360" s="20"/>
    </row>
    <row r="361" spans="18:46">
      <c r="R361" s="97" t="s">
        <v>4793</v>
      </c>
      <c r="S361" s="93">
        <v>1150000</v>
      </c>
      <c r="U361" s="19" t="s">
        <v>5468</v>
      </c>
      <c r="V361" s="19">
        <v>7668</v>
      </c>
      <c r="W361" s="115">
        <v>1976.2774959999999</v>
      </c>
      <c r="X361" s="115">
        <f t="shared" si="89"/>
        <v>15154095.839328</v>
      </c>
      <c r="Y361" s="259" t="s">
        <v>5097</v>
      </c>
      <c r="AI361" s="20">
        <v>70</v>
      </c>
      <c r="AJ361" s="20" t="s">
        <v>4917</v>
      </c>
      <c r="AK361" s="115">
        <v>1130250</v>
      </c>
      <c r="AL361" s="20">
        <v>0</v>
      </c>
      <c r="AM361" s="20">
        <f t="shared" si="100"/>
        <v>659</v>
      </c>
      <c r="AN361" s="20">
        <f t="shared" si="101"/>
        <v>744834750</v>
      </c>
      <c r="AO361" s="20"/>
    </row>
    <row r="362" spans="18:46" ht="18.75" customHeight="1">
      <c r="R362" s="97" t="s">
        <v>4868</v>
      </c>
      <c r="S362" s="93">
        <v>250000</v>
      </c>
      <c r="U362" s="19" t="s">
        <v>5475</v>
      </c>
      <c r="V362" s="19">
        <v>-43325</v>
      </c>
      <c r="W362" s="115">
        <v>2146.5548840000001</v>
      </c>
      <c r="X362" s="115">
        <f t="shared" si="89"/>
        <v>-92999490.349300012</v>
      </c>
      <c r="Y362" s="259" t="s">
        <v>5476</v>
      </c>
      <c r="Z362" t="s">
        <v>25</v>
      </c>
      <c r="AI362" s="239">
        <v>71</v>
      </c>
      <c r="AJ362" s="239" t="s">
        <v>4917</v>
      </c>
      <c r="AK362" s="230">
        <v>30000</v>
      </c>
      <c r="AL362" s="239">
        <v>5</v>
      </c>
      <c r="AM362" s="239">
        <f t="shared" si="100"/>
        <v>659</v>
      </c>
      <c r="AN362" s="239">
        <f t="shared" si="101"/>
        <v>19770000</v>
      </c>
      <c r="AO362" s="239"/>
    </row>
    <row r="363" spans="18:46">
      <c r="R363" s="97" t="s">
        <v>4871</v>
      </c>
      <c r="S363" s="93">
        <v>1403460</v>
      </c>
      <c r="T363" s="112"/>
      <c r="U363" s="19" t="s">
        <v>5483</v>
      </c>
      <c r="V363" s="19">
        <v>20888</v>
      </c>
      <c r="W363" s="115">
        <v>2428.4521530000002</v>
      </c>
      <c r="X363" s="115">
        <f t="shared" si="89"/>
        <v>50725508.571864001</v>
      </c>
      <c r="Y363" s="259" t="s">
        <v>5097</v>
      </c>
      <c r="AI363" s="20">
        <v>72</v>
      </c>
      <c r="AJ363" s="20" t="s">
        <v>4925</v>
      </c>
      <c r="AK363" s="115">
        <v>206000</v>
      </c>
      <c r="AL363" s="20">
        <v>0</v>
      </c>
      <c r="AM363" s="20">
        <f t="shared" si="100"/>
        <v>654</v>
      </c>
      <c r="AN363" s="20">
        <f t="shared" si="101"/>
        <v>134724000</v>
      </c>
      <c r="AO363" s="20"/>
    </row>
    <row r="364" spans="18:46">
      <c r="R364" s="97" t="s">
        <v>4876</v>
      </c>
      <c r="S364" s="93">
        <v>200000</v>
      </c>
      <c r="U364" s="19" t="s">
        <v>5484</v>
      </c>
      <c r="V364" s="19">
        <v>21663</v>
      </c>
      <c r="W364" s="115">
        <v>2308.0067819999999</v>
      </c>
      <c r="X364" s="115">
        <f t="shared" si="89"/>
        <v>49998350.918466002</v>
      </c>
      <c r="Y364" s="259" t="s">
        <v>5487</v>
      </c>
      <c r="Z364" t="s">
        <v>25</v>
      </c>
      <c r="AI364" s="147">
        <v>73</v>
      </c>
      <c r="AJ364" s="147" t="s">
        <v>4925</v>
      </c>
      <c r="AK364" s="186">
        <v>206000</v>
      </c>
      <c r="AL364" s="147">
        <v>2</v>
      </c>
      <c r="AM364" s="147">
        <f t="shared" si="100"/>
        <v>654</v>
      </c>
      <c r="AN364" s="147">
        <f t="shared" si="101"/>
        <v>134724000</v>
      </c>
      <c r="AO364" s="147"/>
    </row>
    <row r="365" spans="18:46">
      <c r="R365" s="97" t="s">
        <v>4881</v>
      </c>
      <c r="S365" s="93">
        <v>345000</v>
      </c>
      <c r="U365" s="19" t="s">
        <v>5484</v>
      </c>
      <c r="V365" s="19">
        <v>977</v>
      </c>
      <c r="W365" s="115">
        <v>2335.6821479999999</v>
      </c>
      <c r="X365" s="115">
        <f t="shared" si="89"/>
        <v>2281961.458596</v>
      </c>
      <c r="Y365" s="259" t="s">
        <v>5097</v>
      </c>
      <c r="AI365" s="20">
        <v>74</v>
      </c>
      <c r="AJ365" s="20" t="s">
        <v>4932</v>
      </c>
      <c r="AK365" s="115">
        <v>50000</v>
      </c>
      <c r="AL365" s="20">
        <v>0</v>
      </c>
      <c r="AM365" s="20">
        <f t="shared" si="100"/>
        <v>652</v>
      </c>
      <c r="AN365" s="20">
        <f t="shared" si="101"/>
        <v>32600000</v>
      </c>
      <c r="AO365" s="20"/>
    </row>
    <row r="366" spans="18:46">
      <c r="R366" s="97" t="s">
        <v>4884</v>
      </c>
      <c r="S366" s="93">
        <v>900000</v>
      </c>
      <c r="U366" s="19" t="s">
        <v>5491</v>
      </c>
      <c r="V366" s="19">
        <v>4155</v>
      </c>
      <c r="W366" s="115">
        <v>2647</v>
      </c>
      <c r="X366" s="115">
        <f t="shared" si="89"/>
        <v>10998285</v>
      </c>
      <c r="Y366" s="259" t="s">
        <v>5097</v>
      </c>
      <c r="AI366" s="239">
        <v>75</v>
      </c>
      <c r="AJ366" s="239" t="s">
        <v>4932</v>
      </c>
      <c r="AK366" s="230">
        <v>50000</v>
      </c>
      <c r="AL366" s="239">
        <v>2</v>
      </c>
      <c r="AM366" s="239">
        <f t="shared" si="100"/>
        <v>652</v>
      </c>
      <c r="AN366" s="239">
        <f t="shared" si="101"/>
        <v>32600000</v>
      </c>
      <c r="AO366" s="239"/>
    </row>
    <row r="367" spans="18:46">
      <c r="R367" s="97" t="s">
        <v>4892</v>
      </c>
      <c r="S367" s="93">
        <v>372517</v>
      </c>
      <c r="U367" s="19" t="s">
        <v>5492</v>
      </c>
      <c r="V367" s="19">
        <v>351</v>
      </c>
      <c r="W367" s="115">
        <v>2800.6238229999999</v>
      </c>
      <c r="X367" s="115">
        <f t="shared" si="89"/>
        <v>983018.96187300002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4925</v>
      </c>
      <c r="S368" s="93">
        <v>6489257</v>
      </c>
      <c r="U368" s="19" t="s">
        <v>5494</v>
      </c>
      <c r="V368" s="19">
        <v>5877</v>
      </c>
      <c r="W368" s="115">
        <v>2901.0160000000001</v>
      </c>
      <c r="X368" s="115">
        <f t="shared" si="89"/>
        <v>17049271.032000002</v>
      </c>
      <c r="Y368" s="259" t="s">
        <v>5097</v>
      </c>
      <c r="Z368" t="s">
        <v>25</v>
      </c>
      <c r="AC368" t="s">
        <v>25</v>
      </c>
      <c r="AI368" s="20">
        <v>77</v>
      </c>
      <c r="AJ368" s="20" t="s">
        <v>4947</v>
      </c>
      <c r="AK368" s="115">
        <v>50000</v>
      </c>
      <c r="AL368" s="20">
        <v>0</v>
      </c>
      <c r="AM368" s="20">
        <f t="shared" si="100"/>
        <v>643</v>
      </c>
      <c r="AN368" s="20">
        <f t="shared" si="101"/>
        <v>32150000</v>
      </c>
      <c r="AO368" s="20"/>
    </row>
    <row r="369" spans="18:46">
      <c r="R369" s="97" t="s">
        <v>4936</v>
      </c>
      <c r="S369" s="93">
        <v>618000</v>
      </c>
      <c r="U369" s="19" t="s">
        <v>5497</v>
      </c>
      <c r="V369" s="19">
        <v>2374</v>
      </c>
      <c r="W369" s="115">
        <v>2877</v>
      </c>
      <c r="X369" s="115">
        <f t="shared" ref="X369:X406" si="102">V369*W369</f>
        <v>6829998</v>
      </c>
      <c r="Y369" s="259" t="s">
        <v>5097</v>
      </c>
      <c r="AI369" s="147">
        <v>78</v>
      </c>
      <c r="AJ369" s="147" t="s">
        <v>4947</v>
      </c>
      <c r="AK369" s="186">
        <v>50000</v>
      </c>
      <c r="AL369" s="147">
        <v>7</v>
      </c>
      <c r="AM369" s="147">
        <f t="shared" si="100"/>
        <v>643</v>
      </c>
      <c r="AN369" s="147">
        <f t="shared" si="101"/>
        <v>32150000</v>
      </c>
      <c r="AO369" s="147"/>
    </row>
    <row r="370" spans="18:46">
      <c r="R370" s="97" t="s">
        <v>4940</v>
      </c>
      <c r="S370" s="93">
        <v>20105000</v>
      </c>
      <c r="U370" s="19" t="s">
        <v>4209</v>
      </c>
      <c r="V370" s="19">
        <v>2532</v>
      </c>
      <c r="W370" s="115">
        <v>2757.7444</v>
      </c>
      <c r="X370" s="115">
        <f t="shared" si="102"/>
        <v>6982608.8207999999</v>
      </c>
      <c r="Y370" s="259" t="s">
        <v>5097</v>
      </c>
      <c r="AI370" s="20">
        <v>79</v>
      </c>
      <c r="AJ370" s="20" t="s">
        <v>4953</v>
      </c>
      <c r="AK370" s="115">
        <v>2480000</v>
      </c>
      <c r="AL370" s="20">
        <v>0</v>
      </c>
      <c r="AM370" s="20">
        <f t="shared" si="100"/>
        <v>636</v>
      </c>
      <c r="AN370" s="20">
        <f t="shared" si="101"/>
        <v>1577280000</v>
      </c>
      <c r="AO370" s="20"/>
    </row>
    <row r="371" spans="18:46">
      <c r="R371" s="97" t="s">
        <v>4941</v>
      </c>
      <c r="S371" s="93">
        <v>-21079990</v>
      </c>
      <c r="U371" s="19" t="s">
        <v>4209</v>
      </c>
      <c r="V371" s="19">
        <v>4987</v>
      </c>
      <c r="W371" s="115">
        <v>2757.7444</v>
      </c>
      <c r="X371" s="115">
        <f t="shared" si="102"/>
        <v>13752871.322800001</v>
      </c>
      <c r="Y371" s="259" t="s">
        <v>5512</v>
      </c>
      <c r="Z371" t="s">
        <v>25</v>
      </c>
      <c r="AI371" s="147">
        <v>80</v>
      </c>
      <c r="AJ371" s="147" t="s">
        <v>4953</v>
      </c>
      <c r="AK371" s="186">
        <v>2480000</v>
      </c>
      <c r="AL371" s="147">
        <v>12</v>
      </c>
      <c r="AM371" s="147">
        <f t="shared" si="100"/>
        <v>636</v>
      </c>
      <c r="AN371" s="147">
        <f t="shared" si="101"/>
        <v>1577280000</v>
      </c>
      <c r="AO371" s="147"/>
    </row>
    <row r="372" spans="18:46">
      <c r="R372" s="97" t="s">
        <v>4947</v>
      </c>
      <c r="S372" s="93">
        <v>-5949277</v>
      </c>
      <c r="T372" t="s">
        <v>25</v>
      </c>
      <c r="U372" s="19" t="s">
        <v>4209</v>
      </c>
      <c r="V372" s="19">
        <v>997</v>
      </c>
      <c r="W372" s="115">
        <v>2757.7444</v>
      </c>
      <c r="X372" s="115">
        <f t="shared" si="102"/>
        <v>2749471.1668000002</v>
      </c>
      <c r="Y372" s="259" t="s">
        <v>5513</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-15370656</v>
      </c>
      <c r="U373" s="19" t="s">
        <v>5517</v>
      </c>
      <c r="V373" s="19">
        <v>2874</v>
      </c>
      <c r="W373" s="115">
        <v>2613.1284000000001</v>
      </c>
      <c r="X373" s="115">
        <f t="shared" si="102"/>
        <v>7510131.0216000006</v>
      </c>
      <c r="Y373" s="259" t="s">
        <v>5097</v>
      </c>
      <c r="AI373" s="20">
        <v>82</v>
      </c>
      <c r="AJ373" s="20" t="s">
        <v>4970</v>
      </c>
      <c r="AK373" s="115">
        <v>400000</v>
      </c>
      <c r="AL373" s="20">
        <v>3</v>
      </c>
      <c r="AM373" s="20">
        <f t="shared" si="100"/>
        <v>620</v>
      </c>
      <c r="AN373" s="20">
        <f t="shared" si="101"/>
        <v>248000000</v>
      </c>
      <c r="AO373" s="20"/>
    </row>
    <row r="374" spans="18:46">
      <c r="R374" s="97" t="s">
        <v>4953</v>
      </c>
      <c r="S374" s="93">
        <v>4960000</v>
      </c>
      <c r="U374" s="19" t="s">
        <v>5523</v>
      </c>
      <c r="V374" s="19">
        <v>2847</v>
      </c>
      <c r="W374" s="115">
        <v>2556.3841000000002</v>
      </c>
      <c r="X374" s="115">
        <f t="shared" si="102"/>
        <v>7278025.5327000003</v>
      </c>
      <c r="Y374" s="259" t="s">
        <v>5097</v>
      </c>
      <c r="AI374" s="147">
        <v>83</v>
      </c>
      <c r="AJ374" s="147" t="s">
        <v>4977</v>
      </c>
      <c r="AK374" s="186">
        <v>40000</v>
      </c>
      <c r="AL374" s="147">
        <v>0</v>
      </c>
      <c r="AM374" s="147">
        <f t="shared" si="100"/>
        <v>617</v>
      </c>
      <c r="AN374" s="147">
        <f t="shared" si="101"/>
        <v>24680000</v>
      </c>
      <c r="AO374" s="147"/>
      <c r="AT374" t="s">
        <v>25</v>
      </c>
    </row>
    <row r="375" spans="18:46">
      <c r="R375" s="97" t="s">
        <v>4960</v>
      </c>
      <c r="S375" s="93">
        <v>10000000</v>
      </c>
      <c r="U375" s="19" t="s">
        <v>5523</v>
      </c>
      <c r="V375" s="19">
        <v>1222</v>
      </c>
      <c r="W375" s="115">
        <v>2556.3841000000002</v>
      </c>
      <c r="X375" s="115">
        <f t="shared" si="102"/>
        <v>3123901.3702000002</v>
      </c>
      <c r="Y375" s="259" t="s">
        <v>5524</v>
      </c>
      <c r="AI375" s="20">
        <v>84</v>
      </c>
      <c r="AJ375" s="20" t="s">
        <v>4977</v>
      </c>
      <c r="AK375" s="115">
        <v>40000</v>
      </c>
      <c r="AL375" s="20">
        <v>5</v>
      </c>
      <c r="AM375" s="20">
        <f t="shared" si="100"/>
        <v>617</v>
      </c>
      <c r="AN375" s="20">
        <f t="shared" si="101"/>
        <v>24680000</v>
      </c>
      <c r="AO375" s="20"/>
    </row>
    <row r="376" spans="18:46">
      <c r="R376" s="97" t="s">
        <v>4969</v>
      </c>
      <c r="S376" s="93">
        <v>-40570100</v>
      </c>
      <c r="U376" s="19" t="s">
        <v>5532</v>
      </c>
      <c r="V376" s="19">
        <v>73</v>
      </c>
      <c r="W376" s="115">
        <v>2672.0459999999998</v>
      </c>
      <c r="X376" s="115">
        <f t="shared" si="102"/>
        <v>195059.35799999998</v>
      </c>
      <c r="Y376" s="259" t="s">
        <v>5097</v>
      </c>
      <c r="AI376" s="20">
        <v>85</v>
      </c>
      <c r="AJ376" s="20" t="s">
        <v>4985</v>
      </c>
      <c r="AK376" s="115">
        <v>200000</v>
      </c>
      <c r="AL376" s="20">
        <v>1</v>
      </c>
      <c r="AM376" s="20">
        <f t="shared" si="100"/>
        <v>612</v>
      </c>
      <c r="AN376" s="20">
        <f t="shared" si="101"/>
        <v>122400000</v>
      </c>
      <c r="AO376" s="20"/>
    </row>
    <row r="377" spans="18:46" ht="30">
      <c r="R377" s="97" t="s">
        <v>4970</v>
      </c>
      <c r="S377" s="93">
        <v>1000000</v>
      </c>
      <c r="U377" s="19" t="s">
        <v>5537</v>
      </c>
      <c r="V377" s="19">
        <v>332</v>
      </c>
      <c r="W377" s="115">
        <v>2598.1260000000002</v>
      </c>
      <c r="X377" s="115">
        <f t="shared" si="102"/>
        <v>862577.83200000005</v>
      </c>
      <c r="Y377" s="259" t="s">
        <v>5538</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4977</v>
      </c>
      <c r="S378" s="93">
        <v>400000</v>
      </c>
      <c r="U378" s="19" t="s">
        <v>5539</v>
      </c>
      <c r="V378" s="19">
        <v>346</v>
      </c>
      <c r="W378" s="115">
        <v>2659.8510000000001</v>
      </c>
      <c r="X378" s="115">
        <f t="shared" si="102"/>
        <v>920308.446</v>
      </c>
      <c r="Y378" s="259" t="s">
        <v>5097</v>
      </c>
      <c r="AI378" s="20">
        <v>87</v>
      </c>
      <c r="AJ378" s="20" t="s">
        <v>4991</v>
      </c>
      <c r="AK378" s="115">
        <v>500000</v>
      </c>
      <c r="AL378" s="20">
        <v>3</v>
      </c>
      <c r="AM378" s="20">
        <f t="shared" si="103"/>
        <v>609</v>
      </c>
      <c r="AN378" s="20">
        <f t="shared" si="104"/>
        <v>304500000</v>
      </c>
      <c r="AO378" s="20"/>
    </row>
    <row r="379" spans="18:46">
      <c r="R379" s="97" t="s">
        <v>4991</v>
      </c>
      <c r="S379" s="93">
        <v>120000</v>
      </c>
      <c r="U379" s="19" t="s">
        <v>5540</v>
      </c>
      <c r="V379" s="19">
        <v>1722</v>
      </c>
      <c r="W379" s="115">
        <v>2692.1079220000001</v>
      </c>
      <c r="X379" s="115">
        <f t="shared" si="102"/>
        <v>4635809.8416840006</v>
      </c>
      <c r="Y379" s="259" t="s">
        <v>5097</v>
      </c>
      <c r="Z379" t="s">
        <v>25</v>
      </c>
      <c r="AI379" s="20">
        <v>88</v>
      </c>
      <c r="AJ379" s="20" t="s">
        <v>4982</v>
      </c>
      <c r="AK379" s="115">
        <v>250000</v>
      </c>
      <c r="AL379" s="20">
        <v>0</v>
      </c>
      <c r="AM379" s="20">
        <f t="shared" si="103"/>
        <v>606</v>
      </c>
      <c r="AN379" s="20">
        <f t="shared" si="104"/>
        <v>151500000</v>
      </c>
      <c r="AO379" s="20"/>
    </row>
    <row r="380" spans="18:46">
      <c r="R380" s="97" t="s">
        <v>4982</v>
      </c>
      <c r="S380" s="93">
        <v>500000</v>
      </c>
      <c r="U380" s="19" t="s">
        <v>5542</v>
      </c>
      <c r="V380" s="19">
        <v>106</v>
      </c>
      <c r="W380" s="115">
        <v>2725.4</v>
      </c>
      <c r="X380" s="115">
        <f t="shared" si="102"/>
        <v>288892.40000000002</v>
      </c>
      <c r="Y380" s="259" t="s">
        <v>452</v>
      </c>
      <c r="Z380" t="s">
        <v>25</v>
      </c>
      <c r="AA380" t="s">
        <v>25</v>
      </c>
      <c r="AI380" s="239">
        <v>89</v>
      </c>
      <c r="AJ380" s="239" t="s">
        <v>4982</v>
      </c>
      <c r="AK380" s="230">
        <v>245000</v>
      </c>
      <c r="AL380" s="239">
        <v>16</v>
      </c>
      <c r="AM380" s="239">
        <f t="shared" si="103"/>
        <v>606</v>
      </c>
      <c r="AN380" s="239">
        <f t="shared" si="104"/>
        <v>148470000</v>
      </c>
      <c r="AO380" s="239"/>
    </row>
    <row r="381" spans="18:46">
      <c r="R381" s="97" t="s">
        <v>5007</v>
      </c>
      <c r="S381" s="93">
        <v>744000</v>
      </c>
      <c r="U381" s="19" t="s">
        <v>5569</v>
      </c>
      <c r="V381" s="19">
        <v>25901</v>
      </c>
      <c r="W381" s="115">
        <v>2258.9090000000001</v>
      </c>
      <c r="X381" s="115">
        <f t="shared" si="102"/>
        <v>58508002.009000003</v>
      </c>
      <c r="Y381" s="259" t="s">
        <v>5097</v>
      </c>
      <c r="AI381" s="20">
        <v>90</v>
      </c>
      <c r="AJ381" s="20" t="s">
        <v>5016</v>
      </c>
      <c r="AK381" s="115">
        <v>312598</v>
      </c>
      <c r="AL381" s="20">
        <v>0</v>
      </c>
      <c r="AM381" s="20">
        <f t="shared" si="103"/>
        <v>590</v>
      </c>
      <c r="AN381" s="20">
        <f t="shared" si="104"/>
        <v>184432820</v>
      </c>
      <c r="AO381" s="20"/>
      <c r="AQ381" t="s">
        <v>25</v>
      </c>
    </row>
    <row r="382" spans="18:46">
      <c r="R382" s="97" t="s">
        <v>5012</v>
      </c>
      <c r="S382" s="93">
        <v>65000</v>
      </c>
      <c r="U382" s="19" t="s">
        <v>5571</v>
      </c>
      <c r="V382" s="19">
        <v>951</v>
      </c>
      <c r="W382" s="115">
        <v>2361.2150799999999</v>
      </c>
      <c r="X382" s="115">
        <f t="shared" si="102"/>
        <v>2245515.5410799999</v>
      </c>
      <c r="Y382" s="259" t="s">
        <v>5097</v>
      </c>
      <c r="AI382" s="20">
        <v>91</v>
      </c>
      <c r="AJ382" s="20" t="s">
        <v>5016</v>
      </c>
      <c r="AK382" s="115">
        <v>780000</v>
      </c>
      <c r="AL382" s="20">
        <v>0</v>
      </c>
      <c r="AM382" s="20">
        <f t="shared" si="103"/>
        <v>590</v>
      </c>
      <c r="AN382" s="20">
        <f t="shared" si="104"/>
        <v>460200000</v>
      </c>
      <c r="AO382" s="20"/>
    </row>
    <row r="383" spans="18:46">
      <c r="R383" s="97" t="s">
        <v>4983</v>
      </c>
      <c r="S383" s="93">
        <v>-14053702</v>
      </c>
      <c r="U383" s="19" t="s">
        <v>5573</v>
      </c>
      <c r="V383" s="19">
        <v>7622</v>
      </c>
      <c r="W383" s="115">
        <v>2414.6810999999998</v>
      </c>
      <c r="X383" s="115">
        <f t="shared" si="102"/>
        <v>18404699.3442</v>
      </c>
      <c r="Y383" s="259" t="s">
        <v>5097</v>
      </c>
      <c r="AI383" s="191">
        <v>92</v>
      </c>
      <c r="AJ383" s="191" t="s">
        <v>5016</v>
      </c>
      <c r="AK383" s="192">
        <v>-300000</v>
      </c>
      <c r="AL383" s="191">
        <v>1</v>
      </c>
      <c r="AM383" s="191">
        <f t="shared" si="103"/>
        <v>590</v>
      </c>
      <c r="AN383" s="191">
        <f t="shared" si="104"/>
        <v>-177000000</v>
      </c>
      <c r="AO383" s="191"/>
    </row>
    <row r="384" spans="18:46">
      <c r="R384" s="97" t="s">
        <v>5048</v>
      </c>
      <c r="S384" s="93">
        <v>3555678</v>
      </c>
      <c r="U384" s="19" t="s">
        <v>5573</v>
      </c>
      <c r="V384" s="19">
        <v>-282</v>
      </c>
      <c r="W384" s="115">
        <v>2414.6810999999998</v>
      </c>
      <c r="X384" s="115">
        <f t="shared" si="102"/>
        <v>-680940.07019999996</v>
      </c>
      <c r="Y384" s="259" t="s">
        <v>5574</v>
      </c>
      <c r="AI384" s="20">
        <v>93</v>
      </c>
      <c r="AJ384" s="20" t="s">
        <v>4983</v>
      </c>
      <c r="AK384" s="115">
        <v>300000</v>
      </c>
      <c r="AL384" s="20">
        <v>0</v>
      </c>
      <c r="AM384" s="20">
        <f t="shared" si="103"/>
        <v>589</v>
      </c>
      <c r="AN384" s="20">
        <f t="shared" si="104"/>
        <v>176700000</v>
      </c>
      <c r="AO384" s="20"/>
    </row>
    <row r="385" spans="16:46">
      <c r="R385" s="97" t="s">
        <v>5052</v>
      </c>
      <c r="S385" s="93">
        <v>3495</v>
      </c>
      <c r="U385" s="19" t="s">
        <v>5573</v>
      </c>
      <c r="V385" s="19">
        <v>20162</v>
      </c>
      <c r="W385" s="115">
        <v>2414.6810999999998</v>
      </c>
      <c r="X385" s="115">
        <f t="shared" si="102"/>
        <v>48684800.338199995</v>
      </c>
      <c r="Y385" s="259" t="s">
        <v>5575</v>
      </c>
      <c r="AI385" s="20">
        <v>94</v>
      </c>
      <c r="AJ385" s="20" t="s">
        <v>4983</v>
      </c>
      <c r="AK385" s="115">
        <v>8660000</v>
      </c>
      <c r="AL385" s="20">
        <v>8</v>
      </c>
      <c r="AM385" s="20">
        <f t="shared" si="103"/>
        <v>589</v>
      </c>
      <c r="AN385" s="20">
        <f t="shared" si="104"/>
        <v>5100740000</v>
      </c>
      <c r="AO385" s="20"/>
    </row>
    <row r="386" spans="16:46">
      <c r="R386" s="97" t="s">
        <v>5054</v>
      </c>
      <c r="S386" s="93">
        <v>6000000</v>
      </c>
      <c r="U386" s="19" t="s">
        <v>5573</v>
      </c>
      <c r="V386" s="19">
        <v>-20162</v>
      </c>
      <c r="W386" s="115">
        <v>2414.6810999999998</v>
      </c>
      <c r="X386" s="115">
        <f t="shared" si="102"/>
        <v>-48684800.338199995</v>
      </c>
      <c r="Y386" s="259" t="s">
        <v>743</v>
      </c>
      <c r="AI386" s="147">
        <v>95</v>
      </c>
      <c r="AJ386" s="147" t="s">
        <v>5033</v>
      </c>
      <c r="AK386" s="186">
        <v>200000</v>
      </c>
      <c r="AL386" s="147">
        <v>3</v>
      </c>
      <c r="AM386" s="147">
        <f t="shared" si="103"/>
        <v>581</v>
      </c>
      <c r="AN386" s="147">
        <f t="shared" si="104"/>
        <v>116200000</v>
      </c>
      <c r="AO386" s="147"/>
      <c r="AR386" t="s">
        <v>25</v>
      </c>
    </row>
    <row r="387" spans="16:46">
      <c r="R387" s="97" t="s">
        <v>5055</v>
      </c>
      <c r="S387" s="93">
        <v>17220</v>
      </c>
      <c r="U387" s="19" t="s">
        <v>5576</v>
      </c>
      <c r="V387" s="19">
        <v>977</v>
      </c>
      <c r="W387" s="115">
        <v>2317.971947</v>
      </c>
      <c r="X387" s="115">
        <f t="shared" si="102"/>
        <v>2264658.5922190002</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8249</v>
      </c>
      <c r="T388" t="s">
        <v>25</v>
      </c>
      <c r="U388" s="19" t="s">
        <v>5578</v>
      </c>
      <c r="V388" s="19">
        <v>10280</v>
      </c>
      <c r="W388" s="115">
        <v>2225.429357</v>
      </c>
      <c r="X388" s="115">
        <f t="shared" si="102"/>
        <v>22877413.789960001</v>
      </c>
      <c r="Y388" s="259" t="s">
        <v>5097</v>
      </c>
      <c r="AI388" s="20">
        <v>97</v>
      </c>
      <c r="AJ388" s="20" t="s">
        <v>5046</v>
      </c>
      <c r="AK388" s="115">
        <v>14340000</v>
      </c>
      <c r="AL388" s="20">
        <v>7</v>
      </c>
      <c r="AM388" s="20">
        <f t="shared" si="103"/>
        <v>577</v>
      </c>
      <c r="AN388" s="20">
        <f t="shared" si="104"/>
        <v>8274180000</v>
      </c>
      <c r="AO388" s="20"/>
      <c r="AT388" t="s">
        <v>25</v>
      </c>
    </row>
    <row r="389" spans="16:46">
      <c r="R389" s="97" t="s">
        <v>5057</v>
      </c>
      <c r="S389" s="93">
        <v>6937</v>
      </c>
      <c r="U389" s="19" t="s">
        <v>5581</v>
      </c>
      <c r="V389" s="19">
        <v>1022</v>
      </c>
      <c r="W389" s="115">
        <v>2311.6824240000001</v>
      </c>
      <c r="X389" s="115">
        <f t="shared" si="102"/>
        <v>2362539.4373280001</v>
      </c>
      <c r="Y389" s="259" t="s">
        <v>5097</v>
      </c>
      <c r="AI389" s="20">
        <v>98</v>
      </c>
      <c r="AJ389" s="20" t="s">
        <v>5052</v>
      </c>
      <c r="AK389" s="115">
        <v>10000000</v>
      </c>
      <c r="AL389" s="20">
        <v>6</v>
      </c>
      <c r="AM389" s="20">
        <f t="shared" si="103"/>
        <v>570</v>
      </c>
      <c r="AN389" s="20">
        <f t="shared" si="104"/>
        <v>5700000000</v>
      </c>
      <c r="AO389" s="20" t="s">
        <v>4669</v>
      </c>
    </row>
    <row r="390" spans="16:46">
      <c r="R390" s="97" t="s">
        <v>5060</v>
      </c>
      <c r="S390" s="93">
        <v>4046552</v>
      </c>
      <c r="U390" s="19" t="s">
        <v>5582</v>
      </c>
      <c r="V390" s="19">
        <v>6818</v>
      </c>
      <c r="W390" s="115">
        <v>2352.988656</v>
      </c>
      <c r="X390" s="115">
        <f t="shared" si="102"/>
        <v>16042676.656608</v>
      </c>
      <c r="Y390" s="259" t="s">
        <v>5097</v>
      </c>
      <c r="AI390" s="20">
        <v>99</v>
      </c>
      <c r="AJ390" s="20" t="s">
        <v>5057</v>
      </c>
      <c r="AK390" s="115">
        <v>4033949</v>
      </c>
      <c r="AL390" s="20">
        <v>2</v>
      </c>
      <c r="AM390" s="20">
        <f t="shared" si="103"/>
        <v>564</v>
      </c>
      <c r="AN390" s="20">
        <f t="shared" si="104"/>
        <v>2275147236</v>
      </c>
      <c r="AO390" s="20" t="s">
        <v>5059</v>
      </c>
    </row>
    <row r="391" spans="16:46">
      <c r="R391" s="97" t="s">
        <v>5067</v>
      </c>
      <c r="S391" s="93">
        <v>-3884943</v>
      </c>
      <c r="U391" s="19" t="s">
        <v>5583</v>
      </c>
      <c r="V391" s="19">
        <v>8023</v>
      </c>
      <c r="W391" s="115">
        <v>2293.8167079999998</v>
      </c>
      <c r="X391" s="115">
        <f t="shared" si="102"/>
        <v>18403291.448284</v>
      </c>
      <c r="Y391" s="259" t="s">
        <v>5097</v>
      </c>
      <c r="AI391" s="147">
        <v>100</v>
      </c>
      <c r="AJ391" s="147" t="s">
        <v>5063</v>
      </c>
      <c r="AK391" s="186">
        <v>11500000</v>
      </c>
      <c r="AL391" s="147">
        <v>2</v>
      </c>
      <c r="AM391" s="147">
        <f t="shared" si="103"/>
        <v>562</v>
      </c>
      <c r="AN391" s="147">
        <f t="shared" si="104"/>
        <v>6463000000</v>
      </c>
      <c r="AO391" s="147" t="s">
        <v>5065</v>
      </c>
    </row>
    <row r="392" spans="16:46">
      <c r="R392" s="97" t="s">
        <v>5093</v>
      </c>
      <c r="S392" s="93">
        <v>6022</v>
      </c>
      <c r="U392" s="19" t="s">
        <v>5586</v>
      </c>
      <c r="V392" s="19">
        <v>4666</v>
      </c>
      <c r="W392" s="115">
        <v>2263.4906230000001</v>
      </c>
      <c r="X392" s="115">
        <f t="shared" si="102"/>
        <v>10561447.246918</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400000</v>
      </c>
      <c r="U393" s="19" t="s">
        <v>5587</v>
      </c>
      <c r="V393" s="19">
        <v>542</v>
      </c>
      <c r="W393" s="115">
        <v>2263.4906230000001</v>
      </c>
      <c r="X393" s="115">
        <f t="shared" si="102"/>
        <v>1226811.9176660001</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5096</v>
      </c>
      <c r="S394" s="93">
        <v>92847</v>
      </c>
      <c r="U394" s="19" t="s">
        <v>5588</v>
      </c>
      <c r="V394" s="19">
        <v>16629</v>
      </c>
      <c r="W394" s="115">
        <v>2367.7887540000002</v>
      </c>
      <c r="X394" s="115">
        <f t="shared" si="102"/>
        <v>39373959.190266006</v>
      </c>
      <c r="Y394" s="259" t="s">
        <v>5097</v>
      </c>
      <c r="AI394" s="147">
        <v>103</v>
      </c>
      <c r="AJ394" s="147" t="s">
        <v>5093</v>
      </c>
      <c r="AK394" s="186">
        <v>1500000</v>
      </c>
      <c r="AL394" s="147">
        <v>6</v>
      </c>
      <c r="AM394" s="147">
        <f t="shared" si="103"/>
        <v>556</v>
      </c>
      <c r="AN394" s="147">
        <f t="shared" si="104"/>
        <v>834000000</v>
      </c>
      <c r="AO394" s="147" t="s">
        <v>5065</v>
      </c>
    </row>
    <row r="395" spans="16:46">
      <c r="R395" s="97" t="s">
        <v>5100</v>
      </c>
      <c r="S395" s="93">
        <v>-100000</v>
      </c>
      <c r="U395" s="19" t="s">
        <v>5593</v>
      </c>
      <c r="V395" s="19">
        <v>11765</v>
      </c>
      <c r="W395" s="115">
        <v>2354.7375320000001</v>
      </c>
      <c r="X395" s="115">
        <f t="shared" si="102"/>
        <v>27703487.063980002</v>
      </c>
      <c r="Y395" s="259" t="s">
        <v>5097</v>
      </c>
      <c r="AI395" s="20">
        <v>104</v>
      </c>
      <c r="AJ395" s="20" t="s">
        <v>958</v>
      </c>
      <c r="AK395" s="115">
        <v>-3960043</v>
      </c>
      <c r="AL395" s="20">
        <v>2</v>
      </c>
      <c r="AM395" s="20">
        <f t="shared" si="103"/>
        <v>550</v>
      </c>
      <c r="AN395" s="20">
        <f t="shared" si="104"/>
        <v>-2178023650</v>
      </c>
      <c r="AO395" s="20"/>
    </row>
    <row r="396" spans="16:46">
      <c r="R396" s="97" t="s">
        <v>5105</v>
      </c>
      <c r="S396" s="93">
        <v>10000000</v>
      </c>
      <c r="U396" s="19" t="s">
        <v>5594</v>
      </c>
      <c r="V396" s="19">
        <v>3672</v>
      </c>
      <c r="W396" s="115">
        <v>2379.873826</v>
      </c>
      <c r="X396" s="115">
        <f t="shared" si="102"/>
        <v>8738896.6890719999</v>
      </c>
      <c r="Y396" s="259" t="s">
        <v>5097</v>
      </c>
      <c r="AA396" t="s">
        <v>25</v>
      </c>
      <c r="AI396" s="20">
        <v>105</v>
      </c>
      <c r="AJ396" s="20" t="s">
        <v>5111</v>
      </c>
      <c r="AK396" s="115">
        <v>230000</v>
      </c>
      <c r="AL396" s="20">
        <v>0</v>
      </c>
      <c r="AM396" s="20">
        <f t="shared" si="103"/>
        <v>548</v>
      </c>
      <c r="AN396" s="20">
        <f t="shared" si="104"/>
        <v>126040000</v>
      </c>
      <c r="AO396" s="20"/>
    </row>
    <row r="397" spans="16:46">
      <c r="R397" s="97" t="s">
        <v>5109</v>
      </c>
      <c r="S397" s="93">
        <v>-400000</v>
      </c>
      <c r="U397" s="19" t="s">
        <v>4182</v>
      </c>
      <c r="V397" s="19">
        <v>140</v>
      </c>
      <c r="W397" s="115">
        <v>2487.154767</v>
      </c>
      <c r="X397" s="115">
        <f t="shared" si="102"/>
        <v>348201.66738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5111</v>
      </c>
      <c r="S398" s="93">
        <v>5649</v>
      </c>
      <c r="U398" s="19" t="s">
        <v>5596</v>
      </c>
      <c r="V398" s="19">
        <v>1616</v>
      </c>
      <c r="W398" s="115">
        <v>2573.0760479999999</v>
      </c>
      <c r="X398" s="115">
        <f t="shared" si="102"/>
        <v>4158090.8935679998</v>
      </c>
      <c r="Y398" s="259" t="s">
        <v>5097</v>
      </c>
      <c r="AI398" s="147">
        <v>107</v>
      </c>
      <c r="AJ398" s="147" t="s">
        <v>5112</v>
      </c>
      <c r="AK398" s="186">
        <v>500000</v>
      </c>
      <c r="AL398" s="147">
        <v>1</v>
      </c>
      <c r="AM398" s="147">
        <f t="shared" si="103"/>
        <v>547</v>
      </c>
      <c r="AN398" s="147">
        <f t="shared" si="104"/>
        <v>273500000</v>
      </c>
      <c r="AO398" s="147"/>
    </row>
    <row r="399" spans="16:46">
      <c r="R399" s="97" t="s">
        <v>5112</v>
      </c>
      <c r="S399" s="93">
        <v>460000</v>
      </c>
      <c r="U399" s="187" t="s">
        <v>5597</v>
      </c>
      <c r="V399" s="187">
        <v>5682</v>
      </c>
      <c r="W399" s="186">
        <v>2639.970566</v>
      </c>
      <c r="X399" s="186">
        <f t="shared" si="102"/>
        <v>15000312.756012</v>
      </c>
      <c r="Y399" s="258" t="s">
        <v>5816</v>
      </c>
      <c r="AI399" s="20">
        <v>108</v>
      </c>
      <c r="AJ399" s="20" t="s">
        <v>5115</v>
      </c>
      <c r="AK399" s="115">
        <v>-880000</v>
      </c>
      <c r="AL399" s="20">
        <v>4</v>
      </c>
      <c r="AM399" s="20">
        <f t="shared" si="103"/>
        <v>546</v>
      </c>
      <c r="AN399" s="20">
        <f t="shared" si="104"/>
        <v>-480480000</v>
      </c>
      <c r="AO399" s="20"/>
    </row>
    <row r="400" spans="16:46" ht="18" customHeight="1">
      <c r="R400" s="97" t="s">
        <v>5112</v>
      </c>
      <c r="S400" s="93">
        <v>1300000</v>
      </c>
      <c r="U400" s="187" t="s">
        <v>5597</v>
      </c>
      <c r="V400" s="187">
        <v>-122</v>
      </c>
      <c r="W400" s="186">
        <v>2639.970566</v>
      </c>
      <c r="X400" s="186">
        <f t="shared" si="102"/>
        <v>-322076.40905199997</v>
      </c>
      <c r="Y400" s="258" t="s">
        <v>5852</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975</v>
      </c>
      <c r="S401" s="93">
        <v>7300000</v>
      </c>
      <c r="U401" s="19" t="s">
        <v>5597</v>
      </c>
      <c r="V401" s="19">
        <v>2272</v>
      </c>
      <c r="W401" s="115">
        <v>2639.970566</v>
      </c>
      <c r="X401" s="115">
        <f t="shared" si="102"/>
        <v>5998013.1259519998</v>
      </c>
      <c r="Y401" s="259" t="s">
        <v>5606</v>
      </c>
      <c r="AE401" t="s">
        <v>25</v>
      </c>
      <c r="AI401" s="20">
        <v>110</v>
      </c>
      <c r="AJ401" s="20" t="s">
        <v>5119</v>
      </c>
      <c r="AK401" s="115">
        <v>127000</v>
      </c>
      <c r="AL401" s="20">
        <v>0</v>
      </c>
      <c r="AM401" s="20">
        <f t="shared" si="103"/>
        <v>542</v>
      </c>
      <c r="AN401" s="20">
        <f t="shared" si="104"/>
        <v>68834000</v>
      </c>
      <c r="AO401" s="20" t="s">
        <v>5065</v>
      </c>
    </row>
    <row r="402" spans="18:46" ht="30">
      <c r="R402" s="97" t="s">
        <v>4253</v>
      </c>
      <c r="S402" s="93">
        <v>21203</v>
      </c>
      <c r="U402" s="19" t="s">
        <v>5597</v>
      </c>
      <c r="V402" s="19">
        <v>4434</v>
      </c>
      <c r="W402" s="115">
        <v>2639.970566</v>
      </c>
      <c r="X402" s="115">
        <f t="shared" si="102"/>
        <v>11705629.489644</v>
      </c>
      <c r="Y402" s="259" t="s">
        <v>5607</v>
      </c>
      <c r="AB402" t="s">
        <v>25</v>
      </c>
      <c r="AI402" s="20">
        <v>111</v>
      </c>
      <c r="AJ402" s="20" t="s">
        <v>5119</v>
      </c>
      <c r="AK402" s="115">
        <v>73000</v>
      </c>
      <c r="AL402" s="20">
        <v>1</v>
      </c>
      <c r="AM402" s="20">
        <f t="shared" si="103"/>
        <v>542</v>
      </c>
      <c r="AN402" s="20">
        <f t="shared" si="104"/>
        <v>39566000</v>
      </c>
      <c r="AO402" s="20"/>
      <c r="AT402" t="s">
        <v>25</v>
      </c>
    </row>
    <row r="403" spans="18:46">
      <c r="R403" s="97" t="s">
        <v>5110</v>
      </c>
      <c r="S403" s="93">
        <v>34550</v>
      </c>
      <c r="U403" s="19" t="s">
        <v>5597</v>
      </c>
      <c r="V403" s="19">
        <v>2349</v>
      </c>
      <c r="W403" s="115">
        <v>2639.970566</v>
      </c>
      <c r="X403" s="115">
        <f t="shared" si="102"/>
        <v>6201290.859534</v>
      </c>
      <c r="Y403" s="259" t="s">
        <v>5608</v>
      </c>
      <c r="AI403" s="20">
        <v>112</v>
      </c>
      <c r="AJ403" s="20" t="s">
        <v>975</v>
      </c>
      <c r="AK403" s="115">
        <v>4300000</v>
      </c>
      <c r="AL403" s="20">
        <v>1</v>
      </c>
      <c r="AM403" s="20">
        <f t="shared" si="103"/>
        <v>541</v>
      </c>
      <c r="AN403" s="20">
        <f t="shared" si="104"/>
        <v>2326300000</v>
      </c>
      <c r="AO403" s="20"/>
    </row>
    <row r="404" spans="18:46" ht="30">
      <c r="R404" s="97" t="s">
        <v>5147</v>
      </c>
      <c r="S404" s="93">
        <v>-2134406</v>
      </c>
      <c r="U404" s="19" t="s">
        <v>5597</v>
      </c>
      <c r="V404" s="19">
        <v>-568</v>
      </c>
      <c r="W404" s="115">
        <v>2639.970566</v>
      </c>
      <c r="X404" s="115">
        <f t="shared" si="102"/>
        <v>-1499503.2814879999</v>
      </c>
      <c r="Y404" s="259" t="s">
        <v>5609</v>
      </c>
      <c r="Z404" t="s">
        <v>25</v>
      </c>
      <c r="AI404" s="20">
        <v>113</v>
      </c>
      <c r="AJ404" s="20" t="s">
        <v>4995</v>
      </c>
      <c r="AK404" s="115">
        <v>1600000</v>
      </c>
      <c r="AL404" s="20">
        <v>0</v>
      </c>
      <c r="AM404" s="20">
        <f t="shared" si="103"/>
        <v>540</v>
      </c>
      <c r="AN404" s="20">
        <f t="shared" si="104"/>
        <v>864000000</v>
      </c>
      <c r="AO404" s="20"/>
    </row>
    <row r="405" spans="18:46" ht="30">
      <c r="R405" s="97" t="s">
        <v>5150</v>
      </c>
      <c r="S405" s="93">
        <v>-618906</v>
      </c>
      <c r="U405" s="19" t="s">
        <v>5597</v>
      </c>
      <c r="V405" s="19">
        <v>568</v>
      </c>
      <c r="W405" s="115">
        <v>2639.970566</v>
      </c>
      <c r="X405" s="115">
        <f t="shared" si="102"/>
        <v>1499503.2814879999</v>
      </c>
      <c r="Y405" s="259" t="s">
        <v>5609</v>
      </c>
      <c r="AI405" s="20">
        <v>114</v>
      </c>
      <c r="AJ405" s="20" t="s">
        <v>4253</v>
      </c>
      <c r="AK405" s="115">
        <v>-10000000</v>
      </c>
      <c r="AL405" s="20">
        <v>1</v>
      </c>
      <c r="AM405" s="20">
        <f t="shared" si="103"/>
        <v>540</v>
      </c>
      <c r="AN405" s="20">
        <f t="shared" si="104"/>
        <v>-5400000000</v>
      </c>
      <c r="AO405" s="20" t="s">
        <v>5125</v>
      </c>
    </row>
    <row r="406" spans="18:46">
      <c r="R406" s="97" t="s">
        <v>5192</v>
      </c>
      <c r="S406" s="93">
        <v>-54615</v>
      </c>
      <c r="U406" s="19" t="s">
        <v>5600</v>
      </c>
      <c r="V406" s="19">
        <v>4589</v>
      </c>
      <c r="W406" s="115">
        <v>2639.970566</v>
      </c>
      <c r="X406" s="115">
        <f t="shared" si="102"/>
        <v>12114824.927374</v>
      </c>
      <c r="Y406" s="259" t="s">
        <v>5610</v>
      </c>
      <c r="Z406" t="s">
        <v>25</v>
      </c>
      <c r="AI406" s="20">
        <v>115</v>
      </c>
      <c r="AJ406" s="20" t="s">
        <v>5124</v>
      </c>
      <c r="AK406" s="115">
        <v>571000</v>
      </c>
      <c r="AL406" s="20">
        <v>4</v>
      </c>
      <c r="AM406" s="20">
        <f t="shared" si="103"/>
        <v>539</v>
      </c>
      <c r="AN406" s="20">
        <f t="shared" si="104"/>
        <v>307769000</v>
      </c>
      <c r="AO406" s="20"/>
    </row>
    <row r="407" spans="18:46">
      <c r="R407" s="97" t="s">
        <v>5237</v>
      </c>
      <c r="S407" s="93">
        <v>18000000</v>
      </c>
      <c r="U407" s="19" t="s">
        <v>5600</v>
      </c>
      <c r="V407" s="19">
        <v>41959</v>
      </c>
      <c r="W407" s="115">
        <v>2639.970566</v>
      </c>
      <c r="X407" s="115">
        <f t="shared" ref="X407:X555" si="105">V407*W407</f>
        <v>110770524.97879399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5244</v>
      </c>
      <c r="S408" s="93">
        <v>20000000</v>
      </c>
      <c r="U408" s="19" t="s">
        <v>5612</v>
      </c>
      <c r="V408" s="19">
        <v>2486</v>
      </c>
      <c r="W408" s="115">
        <v>2688.7156100000002</v>
      </c>
      <c r="X408" s="115">
        <f t="shared" si="105"/>
        <v>6684147.0064600008</v>
      </c>
      <c r="Y408" s="259" t="s">
        <v>5097</v>
      </c>
      <c r="AI408" s="147">
        <v>117</v>
      </c>
      <c r="AJ408" s="147" t="s">
        <v>5132</v>
      </c>
      <c r="AK408" s="186">
        <v>50000</v>
      </c>
      <c r="AL408" s="147">
        <v>7</v>
      </c>
      <c r="AM408" s="147">
        <f t="shared" si="106"/>
        <v>532</v>
      </c>
      <c r="AN408" s="147">
        <f t="shared" si="107"/>
        <v>26600000</v>
      </c>
      <c r="AO408" s="147"/>
    </row>
    <row r="409" spans="18:46">
      <c r="R409" s="97" t="s">
        <v>5318</v>
      </c>
      <c r="S409" s="93">
        <v>27694196</v>
      </c>
      <c r="U409" s="19" t="s">
        <v>5615</v>
      </c>
      <c r="V409" s="19">
        <v>652</v>
      </c>
      <c r="W409" s="115">
        <v>2801.4344030000002</v>
      </c>
      <c r="X409" s="115">
        <f t="shared" si="105"/>
        <v>1826535.2307560001</v>
      </c>
      <c r="Y409" s="259" t="s">
        <v>5097</v>
      </c>
      <c r="AI409" s="20">
        <v>118</v>
      </c>
      <c r="AJ409" s="20" t="s">
        <v>5140</v>
      </c>
      <c r="AK409" s="115">
        <v>-500000</v>
      </c>
      <c r="AL409" s="20">
        <v>12</v>
      </c>
      <c r="AM409" s="20">
        <f t="shared" si="106"/>
        <v>525</v>
      </c>
      <c r="AN409" s="20">
        <f t="shared" si="107"/>
        <v>-262500000</v>
      </c>
      <c r="AO409" s="20"/>
    </row>
    <row r="410" spans="18:46">
      <c r="R410" s="97" t="s">
        <v>5319</v>
      </c>
      <c r="S410" s="93">
        <v>7211722</v>
      </c>
      <c r="T410" t="s">
        <v>25</v>
      </c>
      <c r="U410" s="187" t="s">
        <v>5615</v>
      </c>
      <c r="V410" s="187">
        <v>-536</v>
      </c>
      <c r="W410" s="186">
        <v>2801.4344030000002</v>
      </c>
      <c r="X410" s="186">
        <f t="shared" si="105"/>
        <v>-1501568.8400080001</v>
      </c>
      <c r="Y410" s="258" t="s">
        <v>5627</v>
      </c>
      <c r="AI410" s="147">
        <v>119</v>
      </c>
      <c r="AJ410" s="147" t="s">
        <v>974</v>
      </c>
      <c r="AK410" s="186">
        <v>-50000</v>
      </c>
      <c r="AL410" s="147">
        <v>0</v>
      </c>
      <c r="AM410" s="147">
        <f t="shared" si="106"/>
        <v>513</v>
      </c>
      <c r="AN410" s="147">
        <f t="shared" si="107"/>
        <v>-25650000</v>
      </c>
      <c r="AO410" s="147"/>
    </row>
    <row r="411" spans="18:46">
      <c r="R411" s="97" t="s">
        <v>5323</v>
      </c>
      <c r="S411" s="93">
        <v>8481864</v>
      </c>
      <c r="U411" s="19" t="s">
        <v>5619</v>
      </c>
      <c r="V411" s="19">
        <v>1351</v>
      </c>
      <c r="W411" s="115">
        <v>2647.94</v>
      </c>
      <c r="X411" s="115">
        <f t="shared" si="105"/>
        <v>3577366.94</v>
      </c>
      <c r="Y411" s="259" t="s">
        <v>5097</v>
      </c>
      <c r="AI411" s="20">
        <v>120</v>
      </c>
      <c r="AJ411" s="20" t="s">
        <v>974</v>
      </c>
      <c r="AK411" s="115">
        <v>-50000</v>
      </c>
      <c r="AL411" s="20">
        <v>28</v>
      </c>
      <c r="AM411" s="20">
        <f t="shared" si="106"/>
        <v>513</v>
      </c>
      <c r="AN411" s="20">
        <f t="shared" si="107"/>
        <v>-25650000</v>
      </c>
      <c r="AO411" s="20"/>
    </row>
    <row r="412" spans="18:46">
      <c r="R412" s="97" t="s">
        <v>5327</v>
      </c>
      <c r="S412" s="93">
        <v>1558697</v>
      </c>
      <c r="U412" s="19" t="s">
        <v>5621</v>
      </c>
      <c r="V412" s="19">
        <v>8402</v>
      </c>
      <c r="W412" s="115">
        <v>2527.8539839999999</v>
      </c>
      <c r="X412" s="115">
        <f t="shared" si="105"/>
        <v>21239029.173567999</v>
      </c>
      <c r="Y412" s="259" t="s">
        <v>5097</v>
      </c>
      <c r="AI412" s="20">
        <v>121</v>
      </c>
      <c r="AJ412" s="20" t="s">
        <v>5181</v>
      </c>
      <c r="AK412" s="115">
        <v>-3020625</v>
      </c>
      <c r="AL412" s="20">
        <v>18</v>
      </c>
      <c r="AM412" s="20">
        <f t="shared" si="106"/>
        <v>485</v>
      </c>
      <c r="AN412" s="20">
        <f t="shared" si="107"/>
        <v>-1465003125</v>
      </c>
      <c r="AO412" s="20"/>
    </row>
    <row r="413" spans="18:46">
      <c r="R413" s="97" t="s">
        <v>5328</v>
      </c>
      <c r="S413" s="93">
        <v>9042009</v>
      </c>
      <c r="U413" s="19" t="s">
        <v>5624</v>
      </c>
      <c r="V413" s="19">
        <v>98141</v>
      </c>
      <c r="W413" s="115">
        <v>2475.593813</v>
      </c>
      <c r="X413" s="115">
        <f t="shared" si="105"/>
        <v>242957252.40163299</v>
      </c>
      <c r="Y413" s="259" t="s">
        <v>5097</v>
      </c>
      <c r="AI413" s="20">
        <v>122</v>
      </c>
      <c r="AJ413" s="20" t="s">
        <v>5192</v>
      </c>
      <c r="AK413" s="115">
        <v>18000000</v>
      </c>
      <c r="AL413" s="20">
        <v>19</v>
      </c>
      <c r="AM413" s="20">
        <f t="shared" si="106"/>
        <v>467</v>
      </c>
      <c r="AN413" s="20">
        <f t="shared" si="107"/>
        <v>8406000000</v>
      </c>
      <c r="AO413" s="20"/>
      <c r="AS413" t="s">
        <v>25</v>
      </c>
    </row>
    <row r="414" spans="18:46">
      <c r="R414" s="97" t="s">
        <v>5332</v>
      </c>
      <c r="S414" s="93">
        <v>94969</v>
      </c>
      <c r="U414" s="19" t="s">
        <v>5628</v>
      </c>
      <c r="V414" s="19">
        <v>2910</v>
      </c>
      <c r="W414" s="115">
        <v>2528.240988</v>
      </c>
      <c r="X414" s="115">
        <f t="shared" si="105"/>
        <v>7357181.2750800001</v>
      </c>
      <c r="Y414" s="259" t="s">
        <v>5097</v>
      </c>
      <c r="AA414" t="s">
        <v>25</v>
      </c>
      <c r="AI414" s="20">
        <v>123</v>
      </c>
      <c r="AJ414" s="20" t="s">
        <v>5219</v>
      </c>
      <c r="AK414" s="115">
        <v>2000000</v>
      </c>
      <c r="AL414" s="20">
        <v>6</v>
      </c>
      <c r="AM414" s="20">
        <f t="shared" si="106"/>
        <v>448</v>
      </c>
      <c r="AN414" s="20">
        <f t="shared" si="107"/>
        <v>896000000</v>
      </c>
      <c r="AO414" s="20"/>
    </row>
    <row r="415" spans="18:46">
      <c r="R415" s="97" t="s">
        <v>5332</v>
      </c>
      <c r="S415" s="93">
        <v>40000000</v>
      </c>
      <c r="U415" s="19" t="s">
        <v>5630</v>
      </c>
      <c r="V415" s="19">
        <v>5652</v>
      </c>
      <c r="W415" s="115">
        <v>2645.3312000000001</v>
      </c>
      <c r="X415" s="115">
        <f t="shared" si="105"/>
        <v>14951411.942400001</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5333</v>
      </c>
      <c r="S416" s="93">
        <v>2806274</v>
      </c>
      <c r="U416" s="19" t="s">
        <v>5634</v>
      </c>
      <c r="V416" s="19">
        <v>18764</v>
      </c>
      <c r="W416" s="115">
        <v>2554.2639829999998</v>
      </c>
      <c r="X416" s="115">
        <f t="shared" si="105"/>
        <v>47928209.377011999</v>
      </c>
      <c r="Y416" s="259" t="s">
        <v>5097</v>
      </c>
      <c r="AI416" s="20">
        <v>125</v>
      </c>
      <c r="AJ416" s="20" t="s">
        <v>5237</v>
      </c>
      <c r="AK416" s="115">
        <v>200000</v>
      </c>
      <c r="AL416" s="20">
        <v>0</v>
      </c>
      <c r="AM416" s="20">
        <f t="shared" si="106"/>
        <v>436</v>
      </c>
      <c r="AN416" s="20">
        <f t="shared" si="107"/>
        <v>87200000</v>
      </c>
      <c r="AO416" s="20"/>
    </row>
    <row r="417" spans="18:46">
      <c r="R417" s="97" t="s">
        <v>5341</v>
      </c>
      <c r="S417" s="93">
        <v>1331702</v>
      </c>
      <c r="U417" s="19" t="s">
        <v>5636</v>
      </c>
      <c r="V417" s="19">
        <v>930</v>
      </c>
      <c r="W417" s="115">
        <v>2453.3287089999999</v>
      </c>
      <c r="X417" s="115">
        <f t="shared" si="105"/>
        <v>2281595.69937</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5375</v>
      </c>
      <c r="S418" s="93">
        <v>851238</v>
      </c>
      <c r="U418" s="19" t="s">
        <v>5638</v>
      </c>
      <c r="V418" s="19">
        <v>1167</v>
      </c>
      <c r="W418" s="115">
        <v>2540.6307069999998</v>
      </c>
      <c r="X418" s="115">
        <f t="shared" si="105"/>
        <v>2964916.035069</v>
      </c>
      <c r="Y418" s="259" t="s">
        <v>5097</v>
      </c>
      <c r="AI418" s="20">
        <v>127</v>
      </c>
      <c r="AJ418" s="20" t="s">
        <v>5240</v>
      </c>
      <c r="AK418" s="115">
        <v>50000</v>
      </c>
      <c r="AL418" s="20">
        <v>4</v>
      </c>
      <c r="AM418" s="20">
        <f t="shared" si="106"/>
        <v>435</v>
      </c>
      <c r="AN418" s="20">
        <f t="shared" si="107"/>
        <v>21750000</v>
      </c>
      <c r="AO418" s="20"/>
    </row>
    <row r="419" spans="18:46">
      <c r="R419" s="97" t="s">
        <v>5418</v>
      </c>
      <c r="S419" s="93">
        <v>652592</v>
      </c>
      <c r="U419" s="19" t="s">
        <v>5639</v>
      </c>
      <c r="V419" s="19">
        <v>2538</v>
      </c>
      <c r="W419" s="115">
        <v>2545.5277489999999</v>
      </c>
      <c r="X419" s="115">
        <f t="shared" si="105"/>
        <v>6460549.4269619994</v>
      </c>
      <c r="Y419" s="259" t="s">
        <v>5097</v>
      </c>
      <c r="AA419" t="s">
        <v>25</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5419</v>
      </c>
      <c r="S420" s="93">
        <v>554139</v>
      </c>
      <c r="U420" s="19" t="s">
        <v>5641</v>
      </c>
      <c r="V420" s="19">
        <v>2106</v>
      </c>
      <c r="W420" s="115">
        <v>2474.9857059999999</v>
      </c>
      <c r="X420" s="115">
        <f t="shared" si="105"/>
        <v>5212319.8968359996</v>
      </c>
      <c r="Y420" s="259" t="s">
        <v>5097</v>
      </c>
      <c r="AB420" t="s">
        <v>25</v>
      </c>
      <c r="AI420" s="20">
        <v>129</v>
      </c>
      <c r="AJ420" s="20" t="s">
        <v>5258</v>
      </c>
      <c r="AK420" s="115">
        <v>-550000</v>
      </c>
      <c r="AL420" s="20">
        <v>5</v>
      </c>
      <c r="AM420" s="20">
        <f t="shared" si="108"/>
        <v>422</v>
      </c>
      <c r="AN420" s="20">
        <f t="shared" si="109"/>
        <v>-232100000</v>
      </c>
      <c r="AO420" s="20"/>
      <c r="AS420" t="s">
        <v>25</v>
      </c>
    </row>
    <row r="421" spans="18:46">
      <c r="R421" s="97" t="s">
        <v>5420</v>
      </c>
      <c r="S421" s="93">
        <v>70373089</v>
      </c>
      <c r="U421" s="19" t="s">
        <v>5644</v>
      </c>
      <c r="V421" s="19">
        <v>1801</v>
      </c>
      <c r="W421" s="115">
        <v>2512.2134809999998</v>
      </c>
      <c r="X421" s="115">
        <f t="shared" si="105"/>
        <v>4524496.4792809999</v>
      </c>
      <c r="Y421" s="259" t="s">
        <v>5097</v>
      </c>
      <c r="AI421" s="20">
        <v>130</v>
      </c>
      <c r="AJ421" s="20" t="s">
        <v>5263</v>
      </c>
      <c r="AK421" s="115">
        <v>-29686490</v>
      </c>
      <c r="AL421" s="20">
        <v>1</v>
      </c>
      <c r="AM421" s="20">
        <f t="shared" si="108"/>
        <v>417</v>
      </c>
      <c r="AN421" s="20">
        <f t="shared" si="109"/>
        <v>-12379266330</v>
      </c>
      <c r="AO421" s="20"/>
    </row>
    <row r="422" spans="18:46">
      <c r="R422" s="97" t="s">
        <v>5421</v>
      </c>
      <c r="S422" s="93">
        <v>1219655</v>
      </c>
      <c r="U422" s="19" t="s">
        <v>5646</v>
      </c>
      <c r="V422" s="19">
        <v>9184</v>
      </c>
      <c r="W422" s="115">
        <v>2489.76919</v>
      </c>
      <c r="X422" s="115">
        <f t="shared" si="105"/>
        <v>22866040.240959998</v>
      </c>
      <c r="Y422" s="259" t="s">
        <v>5097</v>
      </c>
      <c r="AI422" s="20">
        <v>131</v>
      </c>
      <c r="AJ422" s="20" t="s">
        <v>5271</v>
      </c>
      <c r="AK422" s="115">
        <v>-9000000</v>
      </c>
      <c r="AL422" s="20">
        <v>8</v>
      </c>
      <c r="AM422" s="20">
        <f t="shared" si="108"/>
        <v>416</v>
      </c>
      <c r="AN422" s="20">
        <f t="shared" si="109"/>
        <v>-3744000000</v>
      </c>
      <c r="AO422" s="20"/>
    </row>
    <row r="423" spans="18:46">
      <c r="R423" s="97" t="s">
        <v>5422</v>
      </c>
      <c r="S423" s="93">
        <v>15350146</v>
      </c>
      <c r="U423" s="19" t="s">
        <v>5648</v>
      </c>
      <c r="V423" s="19">
        <v>6259</v>
      </c>
      <c r="W423" s="115">
        <v>2453.954988</v>
      </c>
      <c r="X423" s="115">
        <f t="shared" si="105"/>
        <v>15359304.269892</v>
      </c>
      <c r="Y423" s="259" t="s">
        <v>5097</v>
      </c>
      <c r="Z423" t="s">
        <v>25</v>
      </c>
      <c r="AI423" s="20">
        <v>132</v>
      </c>
      <c r="AJ423" s="20" t="s">
        <v>5314</v>
      </c>
      <c r="AK423" s="115">
        <v>810000</v>
      </c>
      <c r="AL423" s="20">
        <v>2</v>
      </c>
      <c r="AM423" s="20">
        <f t="shared" si="108"/>
        <v>408</v>
      </c>
      <c r="AN423" s="20">
        <f t="shared" si="109"/>
        <v>330480000</v>
      </c>
      <c r="AO423" s="20"/>
    </row>
    <row r="424" spans="18:46">
      <c r="R424" s="97" t="s">
        <v>5426</v>
      </c>
      <c r="S424" s="93">
        <v>121018</v>
      </c>
      <c r="U424" s="19" t="s">
        <v>5650</v>
      </c>
      <c r="V424" s="19">
        <v>1223</v>
      </c>
      <c r="W424" s="115">
        <v>2345.4686710000001</v>
      </c>
      <c r="X424" s="115">
        <f t="shared" si="105"/>
        <v>2868508.1846330003</v>
      </c>
      <c r="Y424" s="259" t="s">
        <v>5097</v>
      </c>
      <c r="AI424" s="20">
        <v>133</v>
      </c>
      <c r="AJ424" s="20" t="s">
        <v>5319</v>
      </c>
      <c r="AK424" s="115">
        <v>-5000000</v>
      </c>
      <c r="AL424" s="20">
        <v>3</v>
      </c>
      <c r="AM424" s="20">
        <f t="shared" si="108"/>
        <v>406</v>
      </c>
      <c r="AN424" s="20">
        <f t="shared" si="109"/>
        <v>-2030000000</v>
      </c>
      <c r="AO424" s="20"/>
    </row>
    <row r="425" spans="18:46">
      <c r="R425" s="97" t="s">
        <v>5438</v>
      </c>
      <c r="S425" s="93">
        <v>1024993</v>
      </c>
      <c r="U425" s="19" t="s">
        <v>5651</v>
      </c>
      <c r="V425" s="19">
        <v>7804</v>
      </c>
      <c r="W425" s="115">
        <v>2236.0831640000001</v>
      </c>
      <c r="X425" s="115">
        <f t="shared" si="105"/>
        <v>17450393.011856001</v>
      </c>
      <c r="Y425" s="259" t="s">
        <v>5097</v>
      </c>
      <c r="AI425" s="20">
        <v>134</v>
      </c>
      <c r="AJ425" s="20" t="s">
        <v>5323</v>
      </c>
      <c r="AK425" s="115">
        <v>-26000000</v>
      </c>
      <c r="AL425" s="20">
        <v>0</v>
      </c>
      <c r="AM425" s="20">
        <f t="shared" si="108"/>
        <v>403</v>
      </c>
      <c r="AN425" s="20">
        <f t="shared" si="109"/>
        <v>-10478000000</v>
      </c>
      <c r="AO425" s="20"/>
    </row>
    <row r="426" spans="18:46">
      <c r="R426" s="97" t="s">
        <v>5439</v>
      </c>
      <c r="S426" s="93">
        <v>1948077</v>
      </c>
      <c r="U426" s="19" t="s">
        <v>5652</v>
      </c>
      <c r="V426" s="19">
        <v>14589</v>
      </c>
      <c r="W426" s="115">
        <v>2151.5486500000002</v>
      </c>
      <c r="X426" s="115">
        <f t="shared" si="105"/>
        <v>31388943.254850004</v>
      </c>
      <c r="Y426" s="259" t="s">
        <v>5097</v>
      </c>
      <c r="AI426" s="239">
        <v>135</v>
      </c>
      <c r="AJ426" s="239" t="s">
        <v>5323</v>
      </c>
      <c r="AK426" s="230">
        <v>-26000000</v>
      </c>
      <c r="AL426" s="239">
        <v>1</v>
      </c>
      <c r="AM426" s="239">
        <f t="shared" si="108"/>
        <v>403</v>
      </c>
      <c r="AN426" s="239">
        <f t="shared" si="109"/>
        <v>-10478000000</v>
      </c>
      <c r="AO426" s="239"/>
    </row>
    <row r="427" spans="18:46">
      <c r="R427" s="97" t="s">
        <v>5440</v>
      </c>
      <c r="S427" s="93">
        <v>50000120</v>
      </c>
      <c r="U427" s="19" t="s">
        <v>5653</v>
      </c>
      <c r="V427" s="19">
        <v>14741</v>
      </c>
      <c r="W427" s="115">
        <v>2097.0148140000001</v>
      </c>
      <c r="X427" s="115">
        <f t="shared" si="105"/>
        <v>30912095.373174001</v>
      </c>
      <c r="Y427" s="259" t="s">
        <v>5097</v>
      </c>
      <c r="Z427" t="s">
        <v>25</v>
      </c>
      <c r="AI427" s="20">
        <v>136</v>
      </c>
      <c r="AJ427" s="20" t="s">
        <v>5327</v>
      </c>
      <c r="AK427" s="115">
        <v>-81800000</v>
      </c>
      <c r="AL427" s="20">
        <v>0</v>
      </c>
      <c r="AM427" s="20">
        <f t="shared" si="108"/>
        <v>402</v>
      </c>
      <c r="AN427" s="20">
        <f t="shared" si="109"/>
        <v>-32883600000</v>
      </c>
      <c r="AO427" s="20"/>
    </row>
    <row r="428" spans="18:46">
      <c r="R428" s="97" t="s">
        <v>5463</v>
      </c>
      <c r="S428" s="93">
        <v>20000055</v>
      </c>
      <c r="U428" s="19" t="s">
        <v>5655</v>
      </c>
      <c r="V428" s="19">
        <v>10237</v>
      </c>
      <c r="W428" s="115">
        <v>1914.9092619999999</v>
      </c>
      <c r="X428" s="115">
        <f t="shared" si="105"/>
        <v>19602926.115093999</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5464</v>
      </c>
      <c r="S429" s="93">
        <v>5745697</v>
      </c>
      <c r="U429" s="19" t="s">
        <v>5659</v>
      </c>
      <c r="V429" s="19">
        <v>19211</v>
      </c>
      <c r="W429" s="115">
        <v>1793.6906100000001</v>
      </c>
      <c r="X429" s="115">
        <f t="shared" si="105"/>
        <v>34458590.308710001</v>
      </c>
      <c r="Y429" s="259" t="s">
        <v>5097</v>
      </c>
      <c r="AA429" t="s">
        <v>25</v>
      </c>
      <c r="AI429" s="20">
        <v>138</v>
      </c>
      <c r="AJ429" s="20" t="s">
        <v>5328</v>
      </c>
      <c r="AK429" s="115">
        <v>-34000000</v>
      </c>
      <c r="AL429" s="20">
        <v>0</v>
      </c>
      <c r="AM429" s="20">
        <f t="shared" si="108"/>
        <v>401</v>
      </c>
      <c r="AN429" s="20">
        <f t="shared" si="109"/>
        <v>-13634000000</v>
      </c>
      <c r="AO429" s="20"/>
    </row>
    <row r="430" spans="18:46">
      <c r="R430" s="97" t="s">
        <v>5465</v>
      </c>
      <c r="S430" s="93">
        <v>908158</v>
      </c>
      <c r="U430" s="19" t="s">
        <v>5661</v>
      </c>
      <c r="V430" s="19">
        <v>11599</v>
      </c>
      <c r="W430" s="115">
        <v>1870.667144</v>
      </c>
      <c r="X430" s="115">
        <f t="shared" si="105"/>
        <v>21697868.203256</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5466</v>
      </c>
      <c r="S431" s="93">
        <v>12642697</v>
      </c>
      <c r="T431" t="s">
        <v>25</v>
      </c>
      <c r="U431" s="19" t="s">
        <v>5663</v>
      </c>
      <c r="V431" s="19">
        <v>14098</v>
      </c>
      <c r="W431" s="115">
        <v>1797.423695</v>
      </c>
      <c r="X431" s="115">
        <f t="shared" si="105"/>
        <v>25340079.252110001</v>
      </c>
      <c r="Y431" s="259" t="s">
        <v>5097</v>
      </c>
      <c r="AI431" s="20">
        <v>140</v>
      </c>
      <c r="AJ431" s="20" t="s">
        <v>5341</v>
      </c>
      <c r="AK431" s="115">
        <v>1000000</v>
      </c>
      <c r="AL431" s="20">
        <v>0</v>
      </c>
      <c r="AM431" s="20">
        <f t="shared" si="110"/>
        <v>396</v>
      </c>
      <c r="AN431" s="20">
        <f t="shared" si="111"/>
        <v>396000000</v>
      </c>
      <c r="AO431" s="20"/>
    </row>
    <row r="432" spans="18:46">
      <c r="R432" s="97" t="s">
        <v>5467</v>
      </c>
      <c r="S432" s="93">
        <v>12297317.81435</v>
      </c>
      <c r="U432" s="19" t="s">
        <v>5664</v>
      </c>
      <c r="V432" s="19">
        <v>8497</v>
      </c>
      <c r="W432" s="115">
        <v>1739.5531579999999</v>
      </c>
      <c r="X432" s="115">
        <f t="shared" si="105"/>
        <v>14780983.183526</v>
      </c>
      <c r="Y432" s="259" t="s">
        <v>5097</v>
      </c>
      <c r="AI432" s="147">
        <v>141</v>
      </c>
      <c r="AJ432" s="147" t="s">
        <v>5341</v>
      </c>
      <c r="AK432" s="186">
        <v>1000000</v>
      </c>
      <c r="AL432" s="147">
        <v>4</v>
      </c>
      <c r="AM432" s="147">
        <f t="shared" si="110"/>
        <v>396</v>
      </c>
      <c r="AN432" s="147">
        <f t="shared" si="111"/>
        <v>396000000</v>
      </c>
      <c r="AO432" s="147"/>
    </row>
    <row r="433" spans="18:46" ht="30">
      <c r="R433" s="97" t="s">
        <v>5468</v>
      </c>
      <c r="S433" s="93">
        <v>8959643.8508579992</v>
      </c>
      <c r="U433" s="277" t="s">
        <v>5667</v>
      </c>
      <c r="V433" s="277">
        <v>163820</v>
      </c>
      <c r="W433" s="88">
        <v>1588.685326</v>
      </c>
      <c r="X433" s="88">
        <f t="shared" si="105"/>
        <v>260258430.10532001</v>
      </c>
      <c r="Y433" s="287" t="s">
        <v>5669</v>
      </c>
      <c r="AI433" s="20">
        <v>142</v>
      </c>
      <c r="AJ433" s="20" t="s">
        <v>5347</v>
      </c>
      <c r="AK433" s="115">
        <v>400000</v>
      </c>
      <c r="AL433" s="20">
        <v>0</v>
      </c>
      <c r="AM433" s="20">
        <f t="shared" si="110"/>
        <v>392</v>
      </c>
      <c r="AN433" s="20">
        <f t="shared" si="111"/>
        <v>156800000</v>
      </c>
      <c r="AO433" s="20"/>
    </row>
    <row r="434" spans="18:46">
      <c r="R434" s="97" t="s">
        <v>5483</v>
      </c>
      <c r="S434" s="93">
        <v>15154095.839328</v>
      </c>
      <c r="U434" s="19" t="s">
        <v>5667</v>
      </c>
      <c r="V434" s="19">
        <v>11207</v>
      </c>
      <c r="W434" s="115">
        <v>1588.685326</v>
      </c>
      <c r="X434" s="115">
        <f t="shared" si="105"/>
        <v>17804396.448481999</v>
      </c>
      <c r="Y434" s="259" t="s">
        <v>5097</v>
      </c>
      <c r="Z434" t="s">
        <v>25</v>
      </c>
      <c r="AA434" t="s">
        <v>25</v>
      </c>
      <c r="AI434" s="147">
        <v>143</v>
      </c>
      <c r="AJ434" s="147" t="s">
        <v>5347</v>
      </c>
      <c r="AK434" s="186">
        <v>400000</v>
      </c>
      <c r="AL434" s="147">
        <v>35</v>
      </c>
      <c r="AM434" s="147">
        <f t="shared" si="110"/>
        <v>392</v>
      </c>
      <c r="AN434" s="147">
        <f t="shared" si="111"/>
        <v>156800000</v>
      </c>
      <c r="AO434" s="147"/>
    </row>
    <row r="435" spans="18:46">
      <c r="R435" s="97" t="s">
        <v>5484</v>
      </c>
      <c r="S435" s="93">
        <v>50725508.571864001</v>
      </c>
      <c r="T435" t="s">
        <v>25</v>
      </c>
      <c r="U435" s="19" t="s">
        <v>5670</v>
      </c>
      <c r="V435" s="19">
        <v>7198</v>
      </c>
      <c r="W435" s="115">
        <v>1602.9918909999999</v>
      </c>
      <c r="X435" s="115">
        <f t="shared" si="105"/>
        <v>11538335.631417999</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5491</v>
      </c>
      <c r="S436" s="93">
        <v>2281961.458596</v>
      </c>
      <c r="U436" s="19" t="s">
        <v>5671</v>
      </c>
      <c r="V436" s="19">
        <v>7804</v>
      </c>
      <c r="W436" s="115">
        <v>1592.7111440000001</v>
      </c>
      <c r="X436" s="115">
        <f t="shared" si="105"/>
        <v>12429517.767776001</v>
      </c>
      <c r="Y436" s="259" t="s">
        <v>5097</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5492</v>
      </c>
      <c r="S437" s="93">
        <v>10998285</v>
      </c>
      <c r="U437" s="19" t="s">
        <v>5679</v>
      </c>
      <c r="V437" s="19">
        <v>2827</v>
      </c>
      <c r="W437" s="115">
        <v>1779.6874809999999</v>
      </c>
      <c r="X437" s="115">
        <f t="shared" si="105"/>
        <v>5031176.5087869996</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5494</v>
      </c>
      <c r="S438" s="93">
        <v>983018.96187300002</v>
      </c>
      <c r="U438" s="19" t="s">
        <v>5681</v>
      </c>
      <c r="V438" s="19">
        <v>3385</v>
      </c>
      <c r="W438" s="115">
        <v>2015.5993820000001</v>
      </c>
      <c r="X438" s="115">
        <f t="shared" si="105"/>
        <v>6822803.9080700008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5497</v>
      </c>
      <c r="S439" s="93">
        <v>17049271.032000002</v>
      </c>
      <c r="U439" s="19" t="s">
        <v>5685</v>
      </c>
      <c r="V439" s="19">
        <v>158</v>
      </c>
      <c r="W439" s="115">
        <v>2094.2388179999998</v>
      </c>
      <c r="X439" s="115">
        <f t="shared" si="105"/>
        <v>330889.73324399994</v>
      </c>
      <c r="Y439" s="259" t="s">
        <v>5097</v>
      </c>
      <c r="Z439" t="s">
        <v>25</v>
      </c>
      <c r="AI439" s="20">
        <v>148</v>
      </c>
      <c r="AJ439" s="20" t="s">
        <v>5403</v>
      </c>
      <c r="AK439" s="115">
        <v>35000000</v>
      </c>
      <c r="AL439" s="20">
        <v>15</v>
      </c>
      <c r="AM439" s="20">
        <f t="shared" si="112"/>
        <v>337</v>
      </c>
      <c r="AN439" s="20">
        <f t="shared" si="113"/>
        <v>11795000000</v>
      </c>
      <c r="AO439" s="20"/>
      <c r="AT439" t="s">
        <v>25</v>
      </c>
    </row>
    <row r="440" spans="18:46">
      <c r="R440" s="97" t="s">
        <v>4209</v>
      </c>
      <c r="S440" s="93">
        <v>6829998</v>
      </c>
      <c r="U440" s="19" t="s">
        <v>963</v>
      </c>
      <c r="V440" s="19">
        <v>5033</v>
      </c>
      <c r="W440" s="115">
        <v>2229.4976999999999</v>
      </c>
      <c r="X440" s="115">
        <f t="shared" si="105"/>
        <v>11221061.924099999</v>
      </c>
      <c r="Y440" s="259" t="s">
        <v>5690</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5517</v>
      </c>
      <c r="S441" s="93">
        <v>6982608.8207999999</v>
      </c>
      <c r="U441" s="19" t="s">
        <v>5694</v>
      </c>
      <c r="V441" s="19">
        <v>2870</v>
      </c>
      <c r="W441" s="115">
        <v>2303.2467459999998</v>
      </c>
      <c r="X441" s="115">
        <f t="shared" si="105"/>
        <v>6610318.1610199995</v>
      </c>
      <c r="Y441" s="259" t="s">
        <v>5097</v>
      </c>
      <c r="AI441" s="20">
        <v>150</v>
      </c>
      <c r="AJ441" s="20" t="s">
        <v>5422</v>
      </c>
      <c r="AK441" s="115">
        <v>1600000</v>
      </c>
      <c r="AL441" s="20">
        <v>1</v>
      </c>
      <c r="AM441" s="20">
        <f t="shared" si="114"/>
        <v>322</v>
      </c>
      <c r="AN441" s="20">
        <f t="shared" si="115"/>
        <v>515200000</v>
      </c>
      <c r="AO441" s="20"/>
    </row>
    <row r="442" spans="18:46">
      <c r="R442" s="97" t="s">
        <v>5523</v>
      </c>
      <c r="S442" s="93">
        <v>7510131.0216000006</v>
      </c>
      <c r="U442" s="19" t="s">
        <v>5695</v>
      </c>
      <c r="V442" s="19">
        <v>307</v>
      </c>
      <c r="W442" s="115">
        <v>2315.0266360000001</v>
      </c>
      <c r="X442" s="115">
        <f t="shared" si="105"/>
        <v>710713.17725199996</v>
      </c>
      <c r="Y442" s="259" t="s">
        <v>5097</v>
      </c>
      <c r="AI442" s="147">
        <v>151</v>
      </c>
      <c r="AJ442" s="147" t="s">
        <v>5425</v>
      </c>
      <c r="AK442" s="186">
        <v>600000</v>
      </c>
      <c r="AL442" s="147">
        <v>0</v>
      </c>
      <c r="AM442" s="147">
        <f t="shared" si="114"/>
        <v>321</v>
      </c>
      <c r="AN442" s="147">
        <f t="shared" si="115"/>
        <v>192600000</v>
      </c>
      <c r="AO442" s="147" t="s">
        <v>5427</v>
      </c>
    </row>
    <row r="443" spans="18:46" ht="30">
      <c r="R443" s="97" t="s">
        <v>5532</v>
      </c>
      <c r="S443" s="93">
        <v>7278025.5327000003</v>
      </c>
      <c r="U443" s="19" t="s">
        <v>5697</v>
      </c>
      <c r="V443" s="19">
        <v>35</v>
      </c>
      <c r="W443" s="115">
        <v>2315</v>
      </c>
      <c r="X443" s="115">
        <f t="shared" si="105"/>
        <v>81025</v>
      </c>
      <c r="Y443" s="259" t="s">
        <v>5699</v>
      </c>
      <c r="Z443" s="112"/>
      <c r="AI443" s="20">
        <v>152</v>
      </c>
      <c r="AJ443" s="20" t="s">
        <v>5425</v>
      </c>
      <c r="AK443" s="115">
        <v>600000</v>
      </c>
      <c r="AL443" s="20">
        <v>9</v>
      </c>
      <c r="AM443" s="20">
        <f>AL443+AM444</f>
        <v>321</v>
      </c>
      <c r="AN443" s="20">
        <f t="shared" si="115"/>
        <v>192600000</v>
      </c>
      <c r="AO443" s="20" t="s">
        <v>5427</v>
      </c>
    </row>
    <row r="444" spans="18:46">
      <c r="R444" s="97" t="s">
        <v>5537</v>
      </c>
      <c r="S444" s="93">
        <v>195059.35799999998</v>
      </c>
      <c r="T444" t="s">
        <v>25</v>
      </c>
      <c r="U444" s="19" t="s">
        <v>5700</v>
      </c>
      <c r="V444" s="19">
        <v>94</v>
      </c>
      <c r="W444" s="115">
        <v>2337.1980119999998</v>
      </c>
      <c r="X444" s="115">
        <f t="shared" si="105"/>
        <v>219696.613128</v>
      </c>
      <c r="Y444" s="259" t="s">
        <v>5097</v>
      </c>
      <c r="Z444" t="s">
        <v>25</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5539</v>
      </c>
      <c r="S445" s="93">
        <v>862577.83200000005</v>
      </c>
      <c r="U445" s="19" t="s">
        <v>5701</v>
      </c>
      <c r="V445" s="19">
        <v>2534</v>
      </c>
      <c r="W445" s="115">
        <v>2381.7965300000001</v>
      </c>
      <c r="X445" s="115">
        <f t="shared" si="105"/>
        <v>6035472.4070199998</v>
      </c>
      <c r="Y445" s="259" t="s">
        <v>5097</v>
      </c>
      <c r="AI445" s="20">
        <v>154</v>
      </c>
      <c r="AJ445" s="20" t="s">
        <v>5475</v>
      </c>
      <c r="AK445" s="115">
        <v>-46183500</v>
      </c>
      <c r="AL445" s="20">
        <v>0</v>
      </c>
      <c r="AM445" s="20">
        <f t="shared" si="116"/>
        <v>289</v>
      </c>
      <c r="AN445" s="20">
        <f t="shared" si="117"/>
        <v>-13347031500</v>
      </c>
      <c r="AO445" s="20" t="s">
        <v>4848</v>
      </c>
    </row>
    <row r="446" spans="18:46">
      <c r="R446" s="97" t="s">
        <v>5540</v>
      </c>
      <c r="S446" s="93">
        <v>920308.446</v>
      </c>
      <c r="U446" s="19" t="s">
        <v>5702</v>
      </c>
      <c r="V446" s="19">
        <v>424</v>
      </c>
      <c r="W446" s="115">
        <v>2321.9017680000002</v>
      </c>
      <c r="X446" s="115">
        <f t="shared" si="105"/>
        <v>984486.34963200008</v>
      </c>
      <c r="Y446" s="259" t="s">
        <v>5097</v>
      </c>
      <c r="AA446" t="s">
        <v>25</v>
      </c>
      <c r="AI446" s="147">
        <v>155</v>
      </c>
      <c r="AJ446" s="147" t="s">
        <v>5475</v>
      </c>
      <c r="AK446" s="186">
        <v>-1812800</v>
      </c>
      <c r="AL446" s="147">
        <v>2</v>
      </c>
      <c r="AM446" s="147">
        <f>AL446+AM447</f>
        <v>289</v>
      </c>
      <c r="AN446" s="147">
        <f t="shared" si="117"/>
        <v>-523899200</v>
      </c>
      <c r="AO446" s="147" t="s">
        <v>4848</v>
      </c>
      <c r="AR446" t="s">
        <v>25</v>
      </c>
    </row>
    <row r="447" spans="18:46">
      <c r="R447" s="97" t="s">
        <v>5542</v>
      </c>
      <c r="S447" s="93">
        <v>4635809.8416840006</v>
      </c>
      <c r="U447" s="187" t="s">
        <v>5703</v>
      </c>
      <c r="V447" s="187">
        <v>-32</v>
      </c>
      <c r="W447" s="186">
        <v>2221.2123710000001</v>
      </c>
      <c r="X447" s="186">
        <f t="shared" si="105"/>
        <v>-71078.795872000002</v>
      </c>
      <c r="Y447" s="258" t="s">
        <v>5706</v>
      </c>
      <c r="AI447" s="20">
        <v>156</v>
      </c>
      <c r="AJ447" s="20" t="s">
        <v>5479</v>
      </c>
      <c r="AK447" s="115">
        <v>90000</v>
      </c>
      <c r="AL447" s="20">
        <v>0</v>
      </c>
      <c r="AM447" s="20">
        <f t="shared" ref="AM447:AM461" si="118">AL447+AM448</f>
        <v>287</v>
      </c>
      <c r="AN447" s="20">
        <f t="shared" ref="AN447:AN461" si="119">AK447*AM447</f>
        <v>25830000</v>
      </c>
      <c r="AO447" s="20"/>
    </row>
    <row r="448" spans="18:46">
      <c r="R448" s="97" t="s">
        <v>5570</v>
      </c>
      <c r="S448" s="93">
        <v>288892.40000000002</v>
      </c>
      <c r="U448" s="19" t="s">
        <v>5703</v>
      </c>
      <c r="V448" s="19">
        <v>157</v>
      </c>
      <c r="W448" s="115">
        <v>2221.2123710000001</v>
      </c>
      <c r="X448" s="115">
        <f t="shared" si="105"/>
        <v>348730.34224700002</v>
      </c>
      <c r="Y448" s="259" t="s">
        <v>5707</v>
      </c>
      <c r="AI448" s="147">
        <v>157</v>
      </c>
      <c r="AJ448" s="147" t="s">
        <v>5479</v>
      </c>
      <c r="AK448" s="186">
        <v>60000</v>
      </c>
      <c r="AL448" s="147">
        <v>5</v>
      </c>
      <c r="AM448" s="147">
        <f t="shared" si="118"/>
        <v>287</v>
      </c>
      <c r="AN448" s="147">
        <f t="shared" si="119"/>
        <v>17220000</v>
      </c>
      <c r="AO448" s="147"/>
    </row>
    <row r="449" spans="18:45">
      <c r="R449" s="97" t="s">
        <v>5571</v>
      </c>
      <c r="S449" s="93">
        <v>58508002.009000003</v>
      </c>
      <c r="T449" t="s">
        <v>25</v>
      </c>
      <c r="U449" s="19" t="s">
        <v>5703</v>
      </c>
      <c r="V449" s="19">
        <v>965</v>
      </c>
      <c r="W449" s="115">
        <v>2221.2123710000001</v>
      </c>
      <c r="X449" s="115">
        <f t="shared" si="105"/>
        <v>2143469.938015</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2245515.5410799999</v>
      </c>
      <c r="U450" s="187" t="s">
        <v>5709</v>
      </c>
      <c r="V450" s="187">
        <v>596</v>
      </c>
      <c r="W450" s="186">
        <v>2180.6765719999999</v>
      </c>
      <c r="X450" s="186">
        <f t="shared" si="105"/>
        <v>1299683.236912</v>
      </c>
      <c r="Y450" s="258" t="s">
        <v>1069</v>
      </c>
      <c r="Z450" t="s">
        <v>25</v>
      </c>
      <c r="AI450" s="20">
        <v>159</v>
      </c>
      <c r="AJ450" s="20" t="s">
        <v>5542</v>
      </c>
      <c r="AK450" s="115">
        <v>100000</v>
      </c>
      <c r="AL450" s="20">
        <v>1</v>
      </c>
      <c r="AM450" s="20">
        <f t="shared" si="118"/>
        <v>253</v>
      </c>
      <c r="AN450" s="20">
        <f t="shared" si="119"/>
        <v>25300000</v>
      </c>
      <c r="AO450" s="20"/>
    </row>
    <row r="451" spans="18:45">
      <c r="R451" s="97" t="s">
        <v>5573</v>
      </c>
      <c r="S451" s="93">
        <v>18404699.3442</v>
      </c>
      <c r="U451" s="19" t="s">
        <v>5713</v>
      </c>
      <c r="V451" s="19">
        <v>1355</v>
      </c>
      <c r="W451" s="115">
        <v>2277.0926330000002</v>
      </c>
      <c r="X451" s="115">
        <f t="shared" si="105"/>
        <v>3085460.5177150001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5576</v>
      </c>
      <c r="S452" s="93">
        <v>48684800</v>
      </c>
      <c r="U452" s="19" t="s">
        <v>5714</v>
      </c>
      <c r="V452" s="19">
        <v>3742</v>
      </c>
      <c r="W452" s="115">
        <v>2207.7650429999999</v>
      </c>
      <c r="X452" s="115">
        <f t="shared" si="105"/>
        <v>8261456.790906</v>
      </c>
      <c r="Y452" s="259" t="s">
        <v>5097</v>
      </c>
      <c r="Z452" t="s">
        <v>25</v>
      </c>
      <c r="AI452" s="20">
        <v>161</v>
      </c>
      <c r="AJ452" s="20" t="s">
        <v>5531</v>
      </c>
      <c r="AK452" s="115">
        <v>-683050</v>
      </c>
      <c r="AL452" s="20">
        <v>7</v>
      </c>
      <c r="AM452" s="20">
        <f t="shared" si="118"/>
        <v>252</v>
      </c>
      <c r="AN452" s="20">
        <f t="shared" si="119"/>
        <v>-172128600</v>
      </c>
      <c r="AO452" s="20" t="s">
        <v>5545</v>
      </c>
    </row>
    <row r="453" spans="18:45">
      <c r="R453" s="97" t="s">
        <v>5578</v>
      </c>
      <c r="S453" s="93">
        <v>2264658.5922190002</v>
      </c>
      <c r="U453" s="19" t="s">
        <v>5715</v>
      </c>
      <c r="V453" s="19">
        <v>3216</v>
      </c>
      <c r="W453" s="115">
        <v>2043.648557</v>
      </c>
      <c r="X453" s="115">
        <f t="shared" si="105"/>
        <v>6572373.7593120001</v>
      </c>
      <c r="Y453" s="259" t="s">
        <v>5097</v>
      </c>
      <c r="AI453" s="147">
        <v>162</v>
      </c>
      <c r="AJ453" s="147" t="s">
        <v>5553</v>
      </c>
      <c r="AK453" s="186">
        <v>200000</v>
      </c>
      <c r="AL453" s="147">
        <v>7</v>
      </c>
      <c r="AM453" s="147">
        <f t="shared" si="118"/>
        <v>245</v>
      </c>
      <c r="AN453" s="147">
        <f t="shared" si="119"/>
        <v>49000000</v>
      </c>
      <c r="AO453" s="147"/>
    </row>
    <row r="454" spans="18:45">
      <c r="R454" s="97" t="s">
        <v>5581</v>
      </c>
      <c r="S454" s="93">
        <v>22877413.789960001</v>
      </c>
      <c r="U454" s="187" t="s">
        <v>5717</v>
      </c>
      <c r="V454" s="187">
        <v>42393</v>
      </c>
      <c r="W454" s="186">
        <v>2124.4852740000001</v>
      </c>
      <c r="X454" s="186">
        <f t="shared" si="105"/>
        <v>90063304.22068201</v>
      </c>
      <c r="Y454" s="258" t="s">
        <v>5718</v>
      </c>
      <c r="Z454" t="s">
        <v>25</v>
      </c>
      <c r="AI454" s="147">
        <v>163</v>
      </c>
      <c r="AJ454" s="147" t="s">
        <v>5558</v>
      </c>
      <c r="AK454" s="186">
        <v>150000</v>
      </c>
      <c r="AL454" s="147">
        <v>5</v>
      </c>
      <c r="AM454" s="147">
        <f t="shared" si="118"/>
        <v>238</v>
      </c>
      <c r="AN454" s="147">
        <f t="shared" si="119"/>
        <v>35700000</v>
      </c>
      <c r="AO454" s="147"/>
    </row>
    <row r="455" spans="18:45">
      <c r="R455" s="97" t="s">
        <v>5582</v>
      </c>
      <c r="S455" s="93">
        <v>2362539.4373280001</v>
      </c>
      <c r="U455" s="19" t="s">
        <v>5719</v>
      </c>
      <c r="V455" s="19">
        <v>1307</v>
      </c>
      <c r="W455" s="115">
        <v>2213.652313</v>
      </c>
      <c r="X455" s="115">
        <f t="shared" si="105"/>
        <v>2893243.5730909999</v>
      </c>
      <c r="Y455" s="259" t="s">
        <v>5097</v>
      </c>
      <c r="AI455" s="20">
        <v>164</v>
      </c>
      <c r="AJ455" s="20" t="s">
        <v>5561</v>
      </c>
      <c r="AK455" s="115">
        <v>320000</v>
      </c>
      <c r="AL455" s="20">
        <v>2</v>
      </c>
      <c r="AM455" s="20">
        <f t="shared" si="118"/>
        <v>233</v>
      </c>
      <c r="AN455" s="20">
        <f t="shared" si="119"/>
        <v>74560000</v>
      </c>
      <c r="AO455" s="20"/>
    </row>
    <row r="456" spans="18:45">
      <c r="R456" s="97" t="s">
        <v>5583</v>
      </c>
      <c r="S456" s="93">
        <v>16042676.656608</v>
      </c>
      <c r="U456" s="19" t="s">
        <v>5720</v>
      </c>
      <c r="V456" s="19">
        <v>44079</v>
      </c>
      <c r="W456" s="115">
        <v>2155.0411519999998</v>
      </c>
      <c r="X456" s="115">
        <f t="shared" si="105"/>
        <v>94992058.939007998</v>
      </c>
      <c r="Y456" s="259" t="s">
        <v>5097</v>
      </c>
      <c r="Z456" t="s">
        <v>25</v>
      </c>
      <c r="AA456" t="s">
        <v>25</v>
      </c>
      <c r="AI456" s="20">
        <v>165</v>
      </c>
      <c r="AJ456" s="20" t="s">
        <v>5562</v>
      </c>
      <c r="AK456" s="115">
        <v>200000</v>
      </c>
      <c r="AL456" s="20">
        <v>29</v>
      </c>
      <c r="AM456" s="20">
        <f t="shared" si="118"/>
        <v>231</v>
      </c>
      <c r="AN456" s="20">
        <f t="shared" si="119"/>
        <v>46200000</v>
      </c>
      <c r="AO456" s="20"/>
    </row>
    <row r="457" spans="18:45">
      <c r="R457" s="97" t="s">
        <v>5586</v>
      </c>
      <c r="S457" s="93">
        <v>18403291.448284</v>
      </c>
      <c r="U457" s="19" t="s">
        <v>5725</v>
      </c>
      <c r="V457" s="19">
        <v>131</v>
      </c>
      <c r="W457" s="115">
        <v>2099.4040150000001</v>
      </c>
      <c r="X457" s="115">
        <f t="shared" si="105"/>
        <v>275021.925965</v>
      </c>
      <c r="Y457" s="259" t="s">
        <v>5097</v>
      </c>
      <c r="Z457" t="s">
        <v>25</v>
      </c>
      <c r="AI457" s="20">
        <v>166</v>
      </c>
      <c r="AJ457" s="20" t="s">
        <v>5597</v>
      </c>
      <c r="AK457" s="115">
        <v>4200000</v>
      </c>
      <c r="AL457" s="20">
        <v>0</v>
      </c>
      <c r="AM457" s="20">
        <f t="shared" si="118"/>
        <v>202</v>
      </c>
      <c r="AN457" s="20">
        <f t="shared" si="119"/>
        <v>848400000</v>
      </c>
      <c r="AO457" s="20"/>
    </row>
    <row r="458" spans="18:45">
      <c r="R458" s="97" t="s">
        <v>5587</v>
      </c>
      <c r="S458" s="93">
        <v>10561447.246918</v>
      </c>
      <c r="U458" s="19" t="s">
        <v>5730</v>
      </c>
      <c r="V458" s="19">
        <v>162</v>
      </c>
      <c r="W458" s="115">
        <v>2021.3081500000001</v>
      </c>
      <c r="X458" s="115">
        <f t="shared" si="105"/>
        <v>327451.9203</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5588</v>
      </c>
      <c r="S459" s="93">
        <v>1226811.9176660001</v>
      </c>
      <c r="U459" s="19" t="s">
        <v>5740</v>
      </c>
      <c r="V459" s="19">
        <v>131</v>
      </c>
      <c r="W459" s="115">
        <v>1985.358328</v>
      </c>
      <c r="X459" s="115">
        <f t="shared" si="105"/>
        <v>260081.94096800001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5593</v>
      </c>
      <c r="S460" s="93">
        <v>39373959.190266006</v>
      </c>
      <c r="U460" s="19" t="s">
        <v>5748</v>
      </c>
      <c r="V460" s="19">
        <v>1449</v>
      </c>
      <c r="W460" s="115">
        <v>2007.787806</v>
      </c>
      <c r="X460" s="115">
        <f t="shared" si="105"/>
        <v>2909284.5308940001</v>
      </c>
      <c r="Y460" s="259" t="s">
        <v>5097</v>
      </c>
      <c r="AA460" t="s">
        <v>25</v>
      </c>
      <c r="AI460" s="20">
        <v>169</v>
      </c>
      <c r="AJ460" s="20" t="s">
        <v>5667</v>
      </c>
      <c r="AK460" s="115">
        <v>260000</v>
      </c>
      <c r="AL460" s="20">
        <v>22</v>
      </c>
      <c r="AM460" s="20">
        <f t="shared" si="118"/>
        <v>149</v>
      </c>
      <c r="AN460" s="20">
        <f t="shared" si="119"/>
        <v>38740000</v>
      </c>
      <c r="AO460" s="20"/>
    </row>
    <row r="461" spans="18:45">
      <c r="R461" s="97" t="s">
        <v>5594</v>
      </c>
      <c r="S461" s="93">
        <v>27703487.063980002</v>
      </c>
      <c r="U461" s="19" t="s">
        <v>5749</v>
      </c>
      <c r="V461" s="19">
        <v>19028</v>
      </c>
      <c r="W461" s="115">
        <v>1982.5102529999999</v>
      </c>
      <c r="X461" s="115">
        <f t="shared" si="105"/>
        <v>37723205.094084002</v>
      </c>
      <c r="Y461" s="259" t="s">
        <v>5097</v>
      </c>
      <c r="Z461" t="s">
        <v>25</v>
      </c>
      <c r="AA461" t="s">
        <v>25</v>
      </c>
      <c r="AI461" s="20">
        <v>170</v>
      </c>
      <c r="AJ461" s="20" t="s">
        <v>5695</v>
      </c>
      <c r="AK461" s="115">
        <v>20000</v>
      </c>
      <c r="AL461" s="20">
        <v>0</v>
      </c>
      <c r="AM461" s="20">
        <f t="shared" si="118"/>
        <v>127</v>
      </c>
      <c r="AN461" s="20">
        <f t="shared" si="119"/>
        <v>2540000</v>
      </c>
      <c r="AO461" s="20"/>
    </row>
    <row r="462" spans="18:45">
      <c r="R462" s="97" t="s">
        <v>4182</v>
      </c>
      <c r="S462" s="93">
        <v>8738896.6890719999</v>
      </c>
      <c r="U462" s="19" t="s">
        <v>5750</v>
      </c>
      <c r="V462" s="19">
        <v>848</v>
      </c>
      <c r="W462" s="115">
        <v>1768.97966</v>
      </c>
      <c r="X462" s="115">
        <f t="shared" si="105"/>
        <v>1500094.75168</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5596</v>
      </c>
      <c r="S463" s="93">
        <v>348201.66738</v>
      </c>
      <c r="U463" s="19" t="s">
        <v>5751</v>
      </c>
      <c r="V463" s="19">
        <v>3824</v>
      </c>
      <c r="W463" s="115">
        <v>1890.8547169999999</v>
      </c>
      <c r="X463" s="115">
        <f t="shared" si="105"/>
        <v>7230628.4378079996</v>
      </c>
      <c r="Y463" s="259" t="s">
        <v>5097</v>
      </c>
      <c r="AI463" s="147">
        <v>172</v>
      </c>
      <c r="AJ463" s="147" t="s">
        <v>5703</v>
      </c>
      <c r="AK463" s="186">
        <v>70000</v>
      </c>
      <c r="AL463" s="147">
        <v>0</v>
      </c>
      <c r="AM463" s="147">
        <f t="shared" si="120"/>
        <v>120</v>
      </c>
      <c r="AN463" s="147">
        <f t="shared" si="121"/>
        <v>8400000</v>
      </c>
      <c r="AO463" s="147"/>
    </row>
    <row r="464" spans="18:45">
      <c r="R464" s="97" t="s">
        <v>5600</v>
      </c>
      <c r="S464" s="93">
        <v>4158090.8935679998</v>
      </c>
      <c r="U464" s="19" t="s">
        <v>5753</v>
      </c>
      <c r="V464" s="19">
        <v>14010</v>
      </c>
      <c r="W464" s="115">
        <v>2124.7244390000001</v>
      </c>
      <c r="X464" s="115">
        <f t="shared" si="105"/>
        <v>29767389.390390001</v>
      </c>
      <c r="Y464" s="259" t="s">
        <v>5097</v>
      </c>
      <c r="AI464" s="20">
        <v>173</v>
      </c>
      <c r="AJ464" s="20" t="s">
        <v>5703</v>
      </c>
      <c r="AK464" s="115">
        <v>70000</v>
      </c>
      <c r="AL464" s="20">
        <v>1</v>
      </c>
      <c r="AM464" s="20">
        <f t="shared" si="120"/>
        <v>120</v>
      </c>
      <c r="AN464" s="20">
        <f t="shared" si="121"/>
        <v>8400000</v>
      </c>
      <c r="AO464" s="20"/>
      <c r="AS464" t="s">
        <v>25</v>
      </c>
    </row>
    <row r="465" spans="18:46">
      <c r="R465" s="97" t="s">
        <v>5597</v>
      </c>
      <c r="S465" s="93">
        <v>110770524.97879399</v>
      </c>
      <c r="U465" s="19" t="s">
        <v>5754</v>
      </c>
      <c r="V465" s="19">
        <v>73</v>
      </c>
      <c r="W465" s="115">
        <v>2076.1678900000002</v>
      </c>
      <c r="X465" s="115">
        <f t="shared" si="105"/>
        <v>151560.25597</v>
      </c>
      <c r="Y465" s="259" t="s">
        <v>5097</v>
      </c>
      <c r="AB465" t="s">
        <v>25</v>
      </c>
      <c r="AI465" s="20">
        <v>174</v>
      </c>
      <c r="AJ465" s="20" t="s">
        <v>5709</v>
      </c>
      <c r="AK465" s="115">
        <v>330000</v>
      </c>
      <c r="AL465" s="20">
        <v>0</v>
      </c>
      <c r="AM465" s="20">
        <f t="shared" si="120"/>
        <v>119</v>
      </c>
      <c r="AN465" s="20">
        <f t="shared" si="121"/>
        <v>39270000</v>
      </c>
      <c r="AO465" s="20"/>
      <c r="AS465" t="s">
        <v>25</v>
      </c>
    </row>
    <row r="466" spans="18:46">
      <c r="R466" s="97" t="s">
        <v>5600</v>
      </c>
      <c r="S466" s="93">
        <v>17900000</v>
      </c>
      <c r="U466" s="19" t="s">
        <v>5756</v>
      </c>
      <c r="V466" s="19">
        <v>236</v>
      </c>
      <c r="W466" s="115">
        <v>2039.4867830000001</v>
      </c>
      <c r="X466" s="115">
        <f t="shared" si="105"/>
        <v>481318.88078800001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5612</v>
      </c>
      <c r="S467" s="93">
        <v>12114824.927374</v>
      </c>
      <c r="U467" s="19" t="s">
        <v>5759</v>
      </c>
      <c r="V467" s="19">
        <v>75</v>
      </c>
      <c r="W467" s="115">
        <v>1950.3675760000001</v>
      </c>
      <c r="X467" s="115">
        <f t="shared" si="105"/>
        <v>146277.56820000001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5615</v>
      </c>
      <c r="S468" s="93">
        <v>6684147.0064600008</v>
      </c>
      <c r="U468" s="19" t="s">
        <v>5771</v>
      </c>
      <c r="V468" s="19">
        <v>232</v>
      </c>
      <c r="W468" s="115">
        <v>1830.5750069999999</v>
      </c>
      <c r="X468" s="115">
        <f t="shared" si="105"/>
        <v>424693.40162399999</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5619</v>
      </c>
      <c r="S469" s="93">
        <v>1826535.2307560001</v>
      </c>
      <c r="U469" s="19" t="s">
        <v>5774</v>
      </c>
      <c r="V469" s="19">
        <v>308</v>
      </c>
      <c r="W469" s="115">
        <v>1812.728578</v>
      </c>
      <c r="X469" s="115">
        <f t="shared" si="105"/>
        <v>558320.40202399995</v>
      </c>
      <c r="Y469" s="259" t="s">
        <v>5097</v>
      </c>
      <c r="Z469" t="s">
        <v>25</v>
      </c>
      <c r="AI469" s="147">
        <v>178</v>
      </c>
      <c r="AJ469" s="147" t="s">
        <v>5798</v>
      </c>
      <c r="AK469" s="186">
        <v>33833075</v>
      </c>
      <c r="AL469" s="147">
        <v>0</v>
      </c>
      <c r="AM469" s="147">
        <f t="shared" si="122"/>
        <v>28</v>
      </c>
      <c r="AN469" s="147">
        <f t="shared" si="123"/>
        <v>947326100</v>
      </c>
      <c r="AO469" s="147" t="s">
        <v>5802</v>
      </c>
    </row>
    <row r="470" spans="18:46">
      <c r="R470" s="97" t="s">
        <v>5621</v>
      </c>
      <c r="S470" s="93">
        <v>3577366.94</v>
      </c>
      <c r="U470" s="19" t="s">
        <v>5776</v>
      </c>
      <c r="V470" s="19">
        <v>106</v>
      </c>
      <c r="W470" s="115">
        <v>1958.8888869</v>
      </c>
      <c r="X470" s="115">
        <f t="shared" si="105"/>
        <v>207642.22201140001</v>
      </c>
      <c r="Y470" s="259" t="s">
        <v>5097</v>
      </c>
      <c r="AI470" s="20">
        <v>197</v>
      </c>
      <c r="AJ470" s="20" t="s">
        <v>5798</v>
      </c>
      <c r="AK470" s="115">
        <v>20033075</v>
      </c>
      <c r="AL470" s="20">
        <v>28</v>
      </c>
      <c r="AM470" s="20">
        <f t="shared" si="122"/>
        <v>28</v>
      </c>
      <c r="AN470" s="20">
        <f t="shared" si="123"/>
        <v>560926100</v>
      </c>
      <c r="AO470" s="20" t="s">
        <v>5802</v>
      </c>
    </row>
    <row r="471" spans="18:46">
      <c r="R471" s="97" t="s">
        <v>5624</v>
      </c>
      <c r="S471" s="93">
        <v>21239029.173567999</v>
      </c>
      <c r="U471" s="19" t="s">
        <v>5798</v>
      </c>
      <c r="V471" s="19">
        <v>17050</v>
      </c>
      <c r="W471" s="115">
        <v>1984.311475</v>
      </c>
      <c r="X471" s="115">
        <f t="shared" si="105"/>
        <v>33832510.64875</v>
      </c>
      <c r="Y471" s="259" t="s">
        <v>5800</v>
      </c>
      <c r="Z471" t="s">
        <v>25</v>
      </c>
      <c r="AB471" t="s">
        <v>25</v>
      </c>
      <c r="AI471" s="147">
        <v>198</v>
      </c>
      <c r="AJ471" s="147" t="s">
        <v>5814</v>
      </c>
      <c r="AK471" s="186">
        <v>-22520813.151772</v>
      </c>
      <c r="AL471" s="147">
        <v>0</v>
      </c>
      <c r="AM471" s="147">
        <f>AL471+AM487</f>
        <v>0</v>
      </c>
      <c r="AN471" s="147">
        <f t="shared" si="123"/>
        <v>0</v>
      </c>
      <c r="AO471" s="147" t="s">
        <v>5822</v>
      </c>
    </row>
    <row r="472" spans="18:46">
      <c r="R472" s="97" t="s">
        <v>5629</v>
      </c>
      <c r="S472" s="93">
        <v>242957252.40163299</v>
      </c>
      <c r="U472" s="19" t="s">
        <v>5798</v>
      </c>
      <c r="V472" s="19">
        <v>17050</v>
      </c>
      <c r="W472" s="115">
        <v>1984.311475</v>
      </c>
      <c r="X472" s="115">
        <f t="shared" si="105"/>
        <v>33832510.64875</v>
      </c>
      <c r="Y472" s="259" t="s">
        <v>5801</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5630</v>
      </c>
      <c r="S473" s="93">
        <v>7357181.2750800001</v>
      </c>
      <c r="U473" s="19" t="s">
        <v>5803</v>
      </c>
      <c r="V473" s="19">
        <v>9659</v>
      </c>
      <c r="W473" s="115">
        <v>2073.8685089999999</v>
      </c>
      <c r="X473" s="115">
        <f t="shared" si="105"/>
        <v>20031495.928431001</v>
      </c>
      <c r="Y473" s="259" t="s">
        <v>5804</v>
      </c>
      <c r="Z473" t="s">
        <v>25</v>
      </c>
      <c r="AI473" s="20">
        <v>200</v>
      </c>
      <c r="AJ473" s="20" t="s">
        <v>5814</v>
      </c>
      <c r="AK473" s="115">
        <v>50000000</v>
      </c>
      <c r="AL473" s="20">
        <v>1</v>
      </c>
      <c r="AM473" s="20">
        <f t="shared" si="124"/>
        <v>240</v>
      </c>
      <c r="AN473" s="20">
        <f t="shared" si="125"/>
        <v>12000000000</v>
      </c>
      <c r="AO473" s="20" t="s">
        <v>5824</v>
      </c>
    </row>
    <row r="474" spans="18:46">
      <c r="R474" s="97" t="s">
        <v>5634</v>
      </c>
      <c r="S474" s="93">
        <v>14951411.942400001</v>
      </c>
      <c r="U474" s="19" t="s">
        <v>5807</v>
      </c>
      <c r="V474" s="19">
        <v>323</v>
      </c>
      <c r="W474" s="115">
        <v>1975.162028</v>
      </c>
      <c r="X474" s="115">
        <f t="shared" si="105"/>
        <v>637977.33504399995</v>
      </c>
      <c r="Y474" s="259" t="s">
        <v>5097</v>
      </c>
      <c r="AI474" s="20">
        <v>201</v>
      </c>
      <c r="AJ474" s="20" t="s">
        <v>5830</v>
      </c>
      <c r="AK474" s="115">
        <v>50000000</v>
      </c>
      <c r="AL474" s="20">
        <v>8</v>
      </c>
      <c r="AM474" s="20">
        <f t="shared" si="124"/>
        <v>239</v>
      </c>
      <c r="AN474" s="20">
        <f t="shared" si="125"/>
        <v>11950000000</v>
      </c>
      <c r="AO474" s="20" t="s">
        <v>5824</v>
      </c>
    </row>
    <row r="475" spans="18:46">
      <c r="R475" s="97" t="s">
        <v>5636</v>
      </c>
      <c r="S475" s="93">
        <v>47928209.377011999</v>
      </c>
      <c r="U475" s="19" t="s">
        <v>5808</v>
      </c>
      <c r="V475" s="19">
        <v>238</v>
      </c>
      <c r="W475" s="115">
        <v>1960.303598</v>
      </c>
      <c r="X475" s="115">
        <f t="shared" si="105"/>
        <v>466552.25632400002</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5638</v>
      </c>
      <c r="S476" s="93">
        <v>2281595.69937</v>
      </c>
      <c r="U476" s="19" t="s">
        <v>5809</v>
      </c>
      <c r="V476" s="19">
        <v>75</v>
      </c>
      <c r="W476" s="115">
        <v>1990.893174</v>
      </c>
      <c r="X476" s="115">
        <f t="shared" si="105"/>
        <v>149316.98805000001</v>
      </c>
      <c r="Y476" s="259" t="s">
        <v>5810</v>
      </c>
      <c r="AA476" t="s">
        <v>25</v>
      </c>
      <c r="AI476" s="147">
        <v>203</v>
      </c>
      <c r="AJ476" s="147" t="s">
        <v>6382</v>
      </c>
      <c r="AK476" s="186">
        <v>20000000</v>
      </c>
      <c r="AL476" s="147">
        <v>29</v>
      </c>
      <c r="AM476" s="147">
        <f t="shared" si="124"/>
        <v>229</v>
      </c>
      <c r="AN476" s="147">
        <f t="shared" si="125"/>
        <v>4580000000</v>
      </c>
      <c r="AO476" s="147" t="s">
        <v>6383</v>
      </c>
    </row>
    <row r="477" spans="18:46">
      <c r="R477" s="97" t="s">
        <v>5639</v>
      </c>
      <c r="S477" s="93">
        <v>2964916.035069</v>
      </c>
      <c r="U477" s="19" t="s">
        <v>5809</v>
      </c>
      <c r="V477" s="19">
        <v>95</v>
      </c>
      <c r="W477" s="115">
        <v>1990.893174</v>
      </c>
      <c r="X477" s="115">
        <f t="shared" si="105"/>
        <v>189134.85153000001</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5641</v>
      </c>
      <c r="S478" s="93">
        <v>6460549.4269619994</v>
      </c>
      <c r="U478" s="19" t="s">
        <v>5811</v>
      </c>
      <c r="V478" s="19">
        <v>284</v>
      </c>
      <c r="W478" s="115">
        <v>1989.045169</v>
      </c>
      <c r="X478" s="115">
        <f t="shared" si="105"/>
        <v>564888.82799599995</v>
      </c>
      <c r="Y478" s="259" t="s">
        <v>5097</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5644</v>
      </c>
      <c r="S479" s="93">
        <v>5212319.8968359996</v>
      </c>
      <c r="U479" s="187" t="s">
        <v>5814</v>
      </c>
      <c r="V479" s="187">
        <v>11034</v>
      </c>
      <c r="W479" s="186">
        <v>1960.6845390000001</v>
      </c>
      <c r="X479" s="186">
        <f t="shared" si="105"/>
        <v>21634193.203326002</v>
      </c>
      <c r="Y479" s="258" t="s">
        <v>5818</v>
      </c>
      <c r="AA479" t="s">
        <v>25</v>
      </c>
      <c r="AI479" s="147">
        <v>206</v>
      </c>
      <c r="AJ479" s="147" t="s">
        <v>6626</v>
      </c>
      <c r="AK479" s="186">
        <v>5082711</v>
      </c>
      <c r="AL479" s="147">
        <v>89</v>
      </c>
      <c r="AM479" s="147">
        <f t="shared" si="126"/>
        <v>90</v>
      </c>
      <c r="AN479" s="147">
        <f t="shared" si="127"/>
        <v>457443990</v>
      </c>
      <c r="AO479" s="147" t="s">
        <v>6627</v>
      </c>
    </row>
    <row r="480" spans="18:46" ht="30">
      <c r="R480" s="97" t="s">
        <v>5646</v>
      </c>
      <c r="S480" s="93">
        <v>4524496.4792809999</v>
      </c>
      <c r="U480" s="19" t="s">
        <v>5814</v>
      </c>
      <c r="V480" s="19">
        <v>4469</v>
      </c>
      <c r="W480" s="115">
        <v>1960.6845390000001</v>
      </c>
      <c r="X480" s="115">
        <f t="shared" si="105"/>
        <v>8762299.2047910001</v>
      </c>
      <c r="Y480" s="259" t="s">
        <v>5819</v>
      </c>
      <c r="AA480" t="s">
        <v>25</v>
      </c>
      <c r="AI480" s="147">
        <v>207</v>
      </c>
      <c r="AJ480" s="147" t="s">
        <v>7058</v>
      </c>
      <c r="AK480" s="186">
        <v>7300000</v>
      </c>
      <c r="AL480" s="147">
        <v>0</v>
      </c>
      <c r="AM480" s="147">
        <f t="shared" si="126"/>
        <v>1</v>
      </c>
      <c r="AN480" s="147">
        <f t="shared" si="127"/>
        <v>7300000</v>
      </c>
      <c r="AO480" s="147" t="s">
        <v>7060</v>
      </c>
    </row>
    <row r="481" spans="18:46">
      <c r="R481" s="97" t="s">
        <v>5648</v>
      </c>
      <c r="S481" s="93">
        <v>22866040.240959998</v>
      </c>
      <c r="U481" s="19" t="s">
        <v>5814</v>
      </c>
      <c r="V481" s="19">
        <v>-174834</v>
      </c>
      <c r="W481" s="115">
        <v>1955.271154</v>
      </c>
      <c r="X481" s="115">
        <f t="shared" si="105"/>
        <v>-341847876.93843603</v>
      </c>
      <c r="Y481" s="259" t="s">
        <v>5820</v>
      </c>
      <c r="AI481" s="20">
        <v>208</v>
      </c>
      <c r="AJ481" s="20" t="s">
        <v>7058</v>
      </c>
      <c r="AK481" s="115">
        <v>7000000</v>
      </c>
      <c r="AL481" s="20">
        <v>1</v>
      </c>
      <c r="AM481" s="20">
        <f t="shared" si="126"/>
        <v>1</v>
      </c>
      <c r="AN481" s="20">
        <f t="shared" si="127"/>
        <v>7000000</v>
      </c>
      <c r="AO481" s="20" t="s">
        <v>5824</v>
      </c>
    </row>
    <row r="482" spans="18:46">
      <c r="R482" s="97" t="s">
        <v>5650</v>
      </c>
      <c r="S482" s="93">
        <v>15359304.269892</v>
      </c>
      <c r="U482" s="19" t="s">
        <v>5814</v>
      </c>
      <c r="V482" s="19">
        <v>-78942</v>
      </c>
      <c r="W482" s="115">
        <v>1955.271154</v>
      </c>
      <c r="X482" s="115">
        <f t="shared" si="105"/>
        <v>-154353015.43906799</v>
      </c>
      <c r="Y482" s="259" t="s">
        <v>5821</v>
      </c>
      <c r="AA482" t="s">
        <v>25</v>
      </c>
      <c r="AI482" s="147"/>
      <c r="AJ482" s="147"/>
      <c r="AK482" s="186"/>
      <c r="AL482" s="147"/>
      <c r="AM482" s="147">
        <f t="shared" si="126"/>
        <v>0</v>
      </c>
      <c r="AN482" s="147">
        <f t="shared" si="127"/>
        <v>0</v>
      </c>
      <c r="AO482" s="147"/>
    </row>
    <row r="483" spans="18:46">
      <c r="R483" s="97" t="s">
        <v>5651</v>
      </c>
      <c r="S483" s="93">
        <v>2868508.1846330003</v>
      </c>
      <c r="U483" s="187" t="s">
        <v>5814</v>
      </c>
      <c r="V483" s="187">
        <v>-11518</v>
      </c>
      <c r="W483" s="186">
        <v>1955.271154</v>
      </c>
      <c r="X483" s="186">
        <f t="shared" si="105"/>
        <v>-22520813.151772</v>
      </c>
      <c r="Y483" s="258" t="s">
        <v>5822</v>
      </c>
      <c r="AB483" t="s">
        <v>25</v>
      </c>
      <c r="AI483" s="147"/>
      <c r="AJ483" s="147"/>
      <c r="AK483" s="186"/>
      <c r="AL483" s="147"/>
      <c r="AM483" s="147">
        <f t="shared" si="126"/>
        <v>0</v>
      </c>
      <c r="AN483" s="147">
        <f t="shared" si="127"/>
        <v>0</v>
      </c>
      <c r="AO483" s="147"/>
    </row>
    <row r="484" spans="18:46">
      <c r="R484" s="97" t="s">
        <v>5652</v>
      </c>
      <c r="S484" s="93">
        <v>17450393.011856001</v>
      </c>
      <c r="U484" s="19" t="s">
        <v>5833</v>
      </c>
      <c r="V484" s="19">
        <v>8622</v>
      </c>
      <c r="W484" s="115">
        <v>1930.4022150000001</v>
      </c>
      <c r="X484" s="115">
        <f t="shared" si="105"/>
        <v>16643927.89773</v>
      </c>
      <c r="Y484" s="259" t="s">
        <v>743</v>
      </c>
      <c r="AA484" t="s">
        <v>25</v>
      </c>
      <c r="AI484" s="20"/>
      <c r="AJ484" s="20"/>
      <c r="AK484" s="115"/>
      <c r="AL484" s="20"/>
      <c r="AM484" s="20">
        <f t="shared" si="124"/>
        <v>0</v>
      </c>
      <c r="AN484" s="20">
        <f t="shared" si="125"/>
        <v>0</v>
      </c>
      <c r="AO484" s="20"/>
    </row>
    <row r="485" spans="18:46">
      <c r="R485" s="97" t="s">
        <v>5653</v>
      </c>
      <c r="S485" s="93">
        <v>31388943.254850004</v>
      </c>
      <c r="U485" s="19" t="s">
        <v>5834</v>
      </c>
      <c r="V485" s="19">
        <v>17384</v>
      </c>
      <c r="W485" s="115">
        <v>1918.745255</v>
      </c>
      <c r="X485" s="115">
        <f t="shared" si="105"/>
        <v>33355467.51292</v>
      </c>
      <c r="Y485" s="259" t="s">
        <v>743</v>
      </c>
      <c r="Z485" t="s">
        <v>25</v>
      </c>
      <c r="AA485" t="s">
        <v>25</v>
      </c>
      <c r="AI485" s="20"/>
      <c r="AJ485" s="20"/>
      <c r="AK485" s="115"/>
      <c r="AL485" s="20"/>
      <c r="AM485" s="20">
        <f t="shared" si="124"/>
        <v>0</v>
      </c>
      <c r="AN485" s="20">
        <f t="shared" si="125"/>
        <v>0</v>
      </c>
      <c r="AO485" s="20"/>
    </row>
    <row r="486" spans="18:46">
      <c r="R486" s="97" t="s">
        <v>5655</v>
      </c>
      <c r="S486" s="93">
        <v>30912095.373174001</v>
      </c>
      <c r="U486" s="19" t="s">
        <v>5846</v>
      </c>
      <c r="V486" s="19">
        <v>133</v>
      </c>
      <c r="W486" s="115">
        <v>1954.8389770000001</v>
      </c>
      <c r="X486" s="115">
        <f t="shared" si="105"/>
        <v>259993.58394100002</v>
      </c>
      <c r="Y486" s="259" t="s">
        <v>5097</v>
      </c>
      <c r="AB486" t="s">
        <v>25</v>
      </c>
      <c r="AI486" s="20"/>
      <c r="AJ486" s="20"/>
      <c r="AK486" s="115"/>
      <c r="AL486" s="20"/>
      <c r="AM486" s="20">
        <f t="shared" si="124"/>
        <v>0</v>
      </c>
      <c r="AN486" s="20">
        <f t="shared" si="125"/>
        <v>0</v>
      </c>
      <c r="AO486" s="20"/>
    </row>
    <row r="487" spans="18:46">
      <c r="R487" s="97" t="s">
        <v>5659</v>
      </c>
      <c r="S487" s="93">
        <v>19602926.115093999</v>
      </c>
      <c r="U487" s="19" t="s">
        <v>5847</v>
      </c>
      <c r="V487" s="19">
        <v>140</v>
      </c>
      <c r="W487" s="115">
        <v>1928.2522289999999</v>
      </c>
      <c r="X487" s="115">
        <f t="shared" si="105"/>
        <v>269955.31205999997</v>
      </c>
      <c r="Y487" s="259" t="s">
        <v>5097</v>
      </c>
      <c r="Z487" t="s">
        <v>25</v>
      </c>
      <c r="AI487" s="97"/>
      <c r="AJ487" s="97"/>
      <c r="AK487" s="115"/>
      <c r="AL487" s="97"/>
      <c r="AM487" s="20">
        <f t="shared" si="124"/>
        <v>0</v>
      </c>
      <c r="AN487" s="20">
        <f t="shared" si="125"/>
        <v>0</v>
      </c>
      <c r="AO487" s="20"/>
    </row>
    <row r="488" spans="18:46">
      <c r="R488" s="97" t="s">
        <v>5661</v>
      </c>
      <c r="S488" s="93">
        <v>34458590.308710001</v>
      </c>
      <c r="U488" s="19" t="s">
        <v>6379</v>
      </c>
      <c r="V488" s="19">
        <v>15839</v>
      </c>
      <c r="W488" s="115">
        <v>1893.9957079999999</v>
      </c>
      <c r="X488" s="115">
        <f t="shared" si="105"/>
        <v>29998998.019012</v>
      </c>
      <c r="Y488" s="259" t="s">
        <v>6378</v>
      </c>
      <c r="AA488" t="s">
        <v>25</v>
      </c>
      <c r="AB488" t="s">
        <v>25</v>
      </c>
      <c r="AI488" s="97"/>
      <c r="AJ488" s="97"/>
      <c r="AK488" s="115"/>
      <c r="AL488" s="97"/>
      <c r="AM488" s="20">
        <f t="shared" si="120"/>
        <v>0</v>
      </c>
      <c r="AN488" s="20">
        <f t="shared" si="121"/>
        <v>0</v>
      </c>
      <c r="AO488" s="97"/>
    </row>
    <row r="489" spans="18:46">
      <c r="R489" s="97" t="s">
        <v>5663</v>
      </c>
      <c r="S489" s="93">
        <v>21697868.203256</v>
      </c>
      <c r="U489" s="19" t="s">
        <v>6382</v>
      </c>
      <c r="V489" s="19">
        <v>26601</v>
      </c>
      <c r="W489" s="115">
        <v>1880.082026</v>
      </c>
      <c r="X489" s="115">
        <f t="shared" si="105"/>
        <v>50012061.973626003</v>
      </c>
      <c r="Y489" s="259" t="s">
        <v>5335</v>
      </c>
      <c r="AI489" s="97"/>
      <c r="AJ489" s="97"/>
      <c r="AK489" s="93">
        <f>SUM(AK292:AK488)</f>
        <v>221175387.84822798</v>
      </c>
      <c r="AL489" s="97"/>
      <c r="AM489" s="97"/>
      <c r="AN489" s="97">
        <f>SUM(AN292:AN488)</f>
        <v>212966705974</v>
      </c>
      <c r="AO489" s="93">
        <f>AN489*AO278/31</f>
        <v>114500518.98285995</v>
      </c>
    </row>
    <row r="490" spans="18:46">
      <c r="R490" s="97" t="s">
        <v>5664</v>
      </c>
      <c r="S490" s="93">
        <v>25340079.252110001</v>
      </c>
      <c r="U490" s="187" t="s">
        <v>6382</v>
      </c>
      <c r="V490" s="187">
        <v>10637</v>
      </c>
      <c r="W490" s="186">
        <v>1880.082026</v>
      </c>
      <c r="X490" s="186">
        <f t="shared" si="105"/>
        <v>19998432.510561999</v>
      </c>
      <c r="Y490" s="258" t="s">
        <v>6383</v>
      </c>
      <c r="Z490" t="s">
        <v>25</v>
      </c>
      <c r="AC490" t="s">
        <v>25</v>
      </c>
      <c r="AK490" t="s">
        <v>4041</v>
      </c>
      <c r="AN490" t="s">
        <v>284</v>
      </c>
      <c r="AO490" t="s">
        <v>926</v>
      </c>
    </row>
    <row r="491" spans="18:46">
      <c r="R491" s="97" t="s">
        <v>5667</v>
      </c>
      <c r="S491" s="93">
        <v>14780983.183526</v>
      </c>
      <c r="U491" s="19" t="s">
        <v>6388</v>
      </c>
      <c r="V491" s="19">
        <v>306</v>
      </c>
      <c r="W491" s="115">
        <v>1831.8117119999999</v>
      </c>
      <c r="X491" s="115">
        <f t="shared" si="105"/>
        <v>560534.38387200003</v>
      </c>
      <c r="Y491" s="259" t="s">
        <v>5097</v>
      </c>
      <c r="Z491" t="s">
        <v>25</v>
      </c>
      <c r="AT491" t="s">
        <v>25</v>
      </c>
    </row>
    <row r="492" spans="18:46">
      <c r="R492" s="97" t="s">
        <v>5667</v>
      </c>
      <c r="S492" s="93">
        <v>17804396.448481999</v>
      </c>
      <c r="U492" s="19" t="s">
        <v>6390</v>
      </c>
      <c r="V492" s="19">
        <v>325</v>
      </c>
      <c r="W492" s="115">
        <v>1789.1845169999999</v>
      </c>
      <c r="X492" s="115">
        <f t="shared" si="105"/>
        <v>581484.96802499995</v>
      </c>
      <c r="Y492" s="259" t="s">
        <v>5097</v>
      </c>
      <c r="AA492" t="s">
        <v>25</v>
      </c>
      <c r="AJ492" t="s">
        <v>4043</v>
      </c>
      <c r="AK492" s="112">
        <f>AK489+AO489</f>
        <v>335675906.83108795</v>
      </c>
      <c r="AN492" t="s">
        <v>25</v>
      </c>
    </row>
    <row r="493" spans="18:46">
      <c r="R493" s="97" t="s">
        <v>5670</v>
      </c>
      <c r="S493" s="93">
        <v>260260000</v>
      </c>
      <c r="U493" s="19" t="s">
        <v>6392</v>
      </c>
      <c r="V493" s="19">
        <v>1154</v>
      </c>
      <c r="W493" s="115">
        <v>1851.788857</v>
      </c>
      <c r="X493" s="115">
        <f t="shared" si="105"/>
        <v>2136964.3409779998</v>
      </c>
      <c r="Y493" s="259" t="s">
        <v>5097</v>
      </c>
      <c r="AA493" t="s">
        <v>25</v>
      </c>
      <c r="AJ493" t="s">
        <v>4046</v>
      </c>
      <c r="AK493" s="112">
        <f>SUM(N26:N36)</f>
        <v>4007539732</v>
      </c>
    </row>
    <row r="494" spans="18:46" ht="30">
      <c r="R494" s="97" t="s">
        <v>5671</v>
      </c>
      <c r="S494" s="93">
        <v>11538335.631417999</v>
      </c>
      <c r="U494" s="19" t="s">
        <v>6392</v>
      </c>
      <c r="V494" s="19">
        <v>3240</v>
      </c>
      <c r="W494" s="115">
        <v>1851.788857</v>
      </c>
      <c r="X494" s="115">
        <f t="shared" si="105"/>
        <v>5999795.8966800002</v>
      </c>
      <c r="Y494" s="259" t="s">
        <v>6393</v>
      </c>
      <c r="AB494" t="s">
        <v>25</v>
      </c>
      <c r="AJ494" t="s">
        <v>4116</v>
      </c>
      <c r="AK494" s="112">
        <f>AK493-AK489</f>
        <v>3786364344.151772</v>
      </c>
    </row>
    <row r="495" spans="18:46">
      <c r="R495" s="97" t="s">
        <v>5679</v>
      </c>
      <c r="S495" s="93">
        <v>12429517.767776001</v>
      </c>
      <c r="U495" s="19" t="s">
        <v>6392</v>
      </c>
      <c r="V495" s="19">
        <v>-3240</v>
      </c>
      <c r="W495" s="115">
        <v>1851.788857</v>
      </c>
      <c r="X495" s="115">
        <f t="shared" si="105"/>
        <v>-5999795.8966800002</v>
      </c>
      <c r="Y495" s="259" t="s">
        <v>6394</v>
      </c>
      <c r="AA495" t="s">
        <v>25</v>
      </c>
      <c r="AJ495" t="s">
        <v>926</v>
      </c>
      <c r="AK495" s="112">
        <f>AO489</f>
        <v>114500518.98285995</v>
      </c>
    </row>
    <row r="496" spans="18:46">
      <c r="R496" s="97" t="s">
        <v>5681</v>
      </c>
      <c r="S496" s="93">
        <v>5031176.5087869996</v>
      </c>
      <c r="U496" s="19" t="s">
        <v>6395</v>
      </c>
      <c r="V496" s="19">
        <v>330</v>
      </c>
      <c r="W496" s="115">
        <v>1799.34311</v>
      </c>
      <c r="X496" s="115">
        <f t="shared" si="105"/>
        <v>593783.22629999998</v>
      </c>
      <c r="Y496" s="259" t="s">
        <v>5097</v>
      </c>
      <c r="AB496" t="s">
        <v>25</v>
      </c>
      <c r="AC496" t="s">
        <v>25</v>
      </c>
      <c r="AJ496" t="s">
        <v>4047</v>
      </c>
      <c r="AK496" s="112">
        <f>AK494-AK495</f>
        <v>3671863825.1689119</v>
      </c>
      <c r="AN496" t="s">
        <v>25</v>
      </c>
      <c r="AO496" t="s">
        <v>25</v>
      </c>
    </row>
    <row r="497" spans="18:41">
      <c r="R497" s="97" t="s">
        <v>5685</v>
      </c>
      <c r="S497" s="93">
        <v>6822803.9080700008</v>
      </c>
      <c r="U497" s="19" t="s">
        <v>6399</v>
      </c>
      <c r="V497" s="19">
        <v>266</v>
      </c>
      <c r="W497" s="115">
        <v>1764.9246700000001</v>
      </c>
      <c r="X497" s="115">
        <f t="shared" si="105"/>
        <v>469469.96222000004</v>
      </c>
      <c r="Y497" s="259" t="s">
        <v>5097</v>
      </c>
      <c r="Z497" t="s">
        <v>25</v>
      </c>
      <c r="AM497" t="s">
        <v>25</v>
      </c>
      <c r="AN497" t="s">
        <v>25</v>
      </c>
      <c r="AO497" t="s">
        <v>25</v>
      </c>
    </row>
    <row r="498" spans="18:41">
      <c r="R498" s="97" t="s">
        <v>5694</v>
      </c>
      <c r="S498" s="93">
        <v>330889.73324399994</v>
      </c>
      <c r="U498" s="187" t="s">
        <v>6409</v>
      </c>
      <c r="V498" s="187">
        <v>-10637</v>
      </c>
      <c r="W498" s="186">
        <v>1739.5916549999999</v>
      </c>
      <c r="X498" s="186">
        <f t="shared" si="105"/>
        <v>-18504036.434234999</v>
      </c>
      <c r="Y498" s="258" t="s">
        <v>6412</v>
      </c>
      <c r="Z498" t="s">
        <v>25</v>
      </c>
      <c r="AB498" t="s">
        <v>25</v>
      </c>
    </row>
    <row r="499" spans="18:41">
      <c r="R499" s="97" t="s">
        <v>5695</v>
      </c>
      <c r="S499" s="93">
        <v>6610318.1610199995</v>
      </c>
      <c r="U499" s="19" t="s">
        <v>6409</v>
      </c>
      <c r="V499" s="19">
        <v>10637</v>
      </c>
      <c r="W499" s="115">
        <v>1739.5916549999999</v>
      </c>
      <c r="X499" s="115">
        <f t="shared" si="105"/>
        <v>18504036.434234999</v>
      </c>
      <c r="Y499" s="259" t="s">
        <v>6413</v>
      </c>
      <c r="AB499" t="s">
        <v>25</v>
      </c>
      <c r="AC499" t="s">
        <v>25</v>
      </c>
    </row>
    <row r="500" spans="18:41" ht="30">
      <c r="R500" s="97" t="s">
        <v>5697</v>
      </c>
      <c r="S500" s="93">
        <v>710713.17725199996</v>
      </c>
      <c r="U500" s="19" t="s">
        <v>6437</v>
      </c>
      <c r="V500" s="19">
        <v>39478</v>
      </c>
      <c r="W500" s="115">
        <v>1873.903047</v>
      </c>
      <c r="X500" s="115">
        <f t="shared" si="105"/>
        <v>73977944.489465997</v>
      </c>
      <c r="Y500" s="259" t="s">
        <v>6438</v>
      </c>
      <c r="AO500" t="s">
        <v>25</v>
      </c>
    </row>
    <row r="501" spans="18:41">
      <c r="R501" s="97" t="s">
        <v>5700</v>
      </c>
      <c r="S501" s="93">
        <v>81025</v>
      </c>
      <c r="U501" s="19" t="s">
        <v>6441</v>
      </c>
      <c r="V501" s="19">
        <v>283</v>
      </c>
      <c r="W501" s="115">
        <v>2014.7222959999999</v>
      </c>
      <c r="X501" s="115">
        <f t="shared" si="105"/>
        <v>570166.40976800001</v>
      </c>
      <c r="Y501" s="259" t="s">
        <v>6442</v>
      </c>
      <c r="Z501" t="s">
        <v>25</v>
      </c>
      <c r="AB501" t="s">
        <v>25</v>
      </c>
      <c r="AC501" t="s">
        <v>25</v>
      </c>
      <c r="AO501" t="s">
        <v>25</v>
      </c>
    </row>
    <row r="502" spans="18:41">
      <c r="R502" s="97" t="s">
        <v>5701</v>
      </c>
      <c r="S502" s="93">
        <v>219696.613128</v>
      </c>
      <c r="U502" s="19" t="s">
        <v>6444</v>
      </c>
      <c r="V502" s="19">
        <v>1704</v>
      </c>
      <c r="W502" s="115">
        <v>2104.0605820000001</v>
      </c>
      <c r="X502" s="115">
        <f t="shared" si="105"/>
        <v>3585319.2317280001</v>
      </c>
      <c r="Y502" s="259" t="s">
        <v>5097</v>
      </c>
      <c r="AA502" t="s">
        <v>25</v>
      </c>
      <c r="AB502" t="s">
        <v>25</v>
      </c>
    </row>
    <row r="503" spans="18:41">
      <c r="R503" s="97" t="s">
        <v>5702</v>
      </c>
      <c r="S503" s="93">
        <v>6035472.4070199998</v>
      </c>
      <c r="U503" s="19" t="s">
        <v>6447</v>
      </c>
      <c r="V503" s="19">
        <v>324</v>
      </c>
      <c r="W503" s="115">
        <v>2088.5824040000002</v>
      </c>
      <c r="X503" s="115">
        <f t="shared" si="105"/>
        <v>676700.69889600005</v>
      </c>
      <c r="Y503" s="259" t="s">
        <v>5097</v>
      </c>
      <c r="Z503" t="s">
        <v>25</v>
      </c>
      <c r="AA503" t="s">
        <v>25</v>
      </c>
      <c r="AB503" t="s">
        <v>25</v>
      </c>
    </row>
    <row r="504" spans="18:41">
      <c r="R504" s="97" t="s">
        <v>5703</v>
      </c>
      <c r="S504" s="93">
        <v>984486.34963200008</v>
      </c>
      <c r="U504" s="19" t="s">
        <v>6455</v>
      </c>
      <c r="V504" s="19">
        <v>538</v>
      </c>
      <c r="W504" s="115">
        <v>2055.3485930000002</v>
      </c>
      <c r="X504" s="115">
        <f t="shared" si="105"/>
        <v>1105777.5430340001</v>
      </c>
      <c r="Y504" s="259" t="s">
        <v>5097</v>
      </c>
      <c r="Z504" t="s">
        <v>25</v>
      </c>
    </row>
    <row r="505" spans="18:41">
      <c r="R505" s="97" t="s">
        <v>5713</v>
      </c>
      <c r="S505" s="93">
        <v>2143469.938015</v>
      </c>
      <c r="U505" s="19" t="s">
        <v>6459</v>
      </c>
      <c r="V505" s="19">
        <v>1031</v>
      </c>
      <c r="W505" s="115">
        <v>2245.620621</v>
      </c>
      <c r="X505" s="115">
        <f t="shared" si="105"/>
        <v>2315234.8602510002</v>
      </c>
      <c r="Y505" s="259" t="s">
        <v>5097</v>
      </c>
      <c r="Z505" t="s">
        <v>25</v>
      </c>
      <c r="AB505" t="s">
        <v>25</v>
      </c>
    </row>
    <row r="506" spans="18:41">
      <c r="R506" s="97" t="s">
        <v>5714</v>
      </c>
      <c r="S506" s="93">
        <v>3085460.5177150001</v>
      </c>
      <c r="U506" s="19" t="s">
        <v>6461</v>
      </c>
      <c r="V506" s="19">
        <v>1804</v>
      </c>
      <c r="W506" s="115">
        <v>2292.882846</v>
      </c>
      <c r="X506" s="115">
        <f t="shared" si="105"/>
        <v>4136360.6541840001</v>
      </c>
      <c r="Y506" s="259" t="s">
        <v>5097</v>
      </c>
      <c r="AB506" t="s">
        <v>25</v>
      </c>
    </row>
    <row r="507" spans="18:41">
      <c r="R507" s="97" t="s">
        <v>5715</v>
      </c>
      <c r="S507" s="93">
        <v>8261456.790906</v>
      </c>
      <c r="U507" s="19" t="s">
        <v>6463</v>
      </c>
      <c r="V507" s="19">
        <v>1348</v>
      </c>
      <c r="W507" s="115">
        <v>2252.0137020000002</v>
      </c>
      <c r="X507" s="115">
        <f t="shared" si="105"/>
        <v>3035714.4702960001</v>
      </c>
      <c r="Y507" s="259" t="s">
        <v>5097</v>
      </c>
    </row>
    <row r="508" spans="18:41">
      <c r="R508" s="97" t="s">
        <v>5719</v>
      </c>
      <c r="S508" s="93">
        <v>6572373.7593120001</v>
      </c>
      <c r="U508" s="19" t="s">
        <v>6471</v>
      </c>
      <c r="V508" s="19">
        <v>-76536</v>
      </c>
      <c r="W508" s="115">
        <v>2350.6086869999999</v>
      </c>
      <c r="X508" s="115">
        <f t="shared" si="105"/>
        <v>-179906186.46823201</v>
      </c>
      <c r="Y508" s="259" t="s">
        <v>6474</v>
      </c>
    </row>
    <row r="509" spans="18:41">
      <c r="R509" s="97" t="s">
        <v>5720</v>
      </c>
      <c r="S509" s="93">
        <v>2893243.5730909999</v>
      </c>
      <c r="U509" s="19" t="s">
        <v>6476</v>
      </c>
      <c r="V509" s="19">
        <v>145</v>
      </c>
      <c r="W509" s="115">
        <v>2379.7882030000001</v>
      </c>
      <c r="X509" s="115">
        <f t="shared" si="105"/>
        <v>345069.28943499998</v>
      </c>
      <c r="Y509" s="259" t="s">
        <v>5097</v>
      </c>
      <c r="Z509" t="s">
        <v>25</v>
      </c>
      <c r="AB509" t="s">
        <v>25</v>
      </c>
    </row>
    <row r="510" spans="18:41">
      <c r="R510" s="97" t="s">
        <v>5725</v>
      </c>
      <c r="S510" s="93">
        <v>94992058.939007998</v>
      </c>
      <c r="U510" s="187" t="s">
        <v>6476</v>
      </c>
      <c r="V510" s="187">
        <v>55</v>
      </c>
      <c r="W510" s="186">
        <v>2379.7882030000001</v>
      </c>
      <c r="X510" s="186">
        <f t="shared" si="105"/>
        <v>130888.351165</v>
      </c>
      <c r="Y510" s="258" t="s">
        <v>6562</v>
      </c>
      <c r="AA510" t="s">
        <v>25</v>
      </c>
    </row>
    <row r="511" spans="18:41">
      <c r="R511" s="97" t="s">
        <v>5730</v>
      </c>
      <c r="S511" s="93">
        <v>275021.925965</v>
      </c>
      <c r="U511" s="19" t="s">
        <v>6476</v>
      </c>
      <c r="V511" s="19">
        <v>53</v>
      </c>
      <c r="W511" s="115">
        <v>2379.7882030000001</v>
      </c>
      <c r="X511" s="115">
        <f t="shared" si="105"/>
        <v>126128.77475900001</v>
      </c>
      <c r="Y511" s="259" t="s">
        <v>6563</v>
      </c>
      <c r="AA511" t="s">
        <v>25</v>
      </c>
    </row>
    <row r="512" spans="18:41">
      <c r="R512" s="97" t="s">
        <v>5740</v>
      </c>
      <c r="S512" s="93">
        <v>327451.9203</v>
      </c>
      <c r="U512" s="19" t="s">
        <v>6568</v>
      </c>
      <c r="V512" s="19">
        <v>243</v>
      </c>
      <c r="W512" s="115">
        <v>2336.5653440000001</v>
      </c>
      <c r="X512" s="115">
        <f t="shared" si="105"/>
        <v>567785.37859199999</v>
      </c>
      <c r="Y512" s="259" t="s">
        <v>5097</v>
      </c>
    </row>
    <row r="513" spans="15:28">
      <c r="R513" s="97" t="s">
        <v>5748</v>
      </c>
      <c r="S513" s="93">
        <v>260081.94096800001</v>
      </c>
      <c r="U513" s="19" t="s">
        <v>6579</v>
      </c>
      <c r="V513" s="19">
        <v>81</v>
      </c>
      <c r="W513" s="115">
        <v>2341.77675</v>
      </c>
      <c r="X513" s="115">
        <f t="shared" si="105"/>
        <v>189683.91675</v>
      </c>
      <c r="Y513" s="259" t="s">
        <v>5097</v>
      </c>
      <c r="Z513" t="s">
        <v>25</v>
      </c>
    </row>
    <row r="514" spans="15:28">
      <c r="R514" s="97" t="s">
        <v>5749</v>
      </c>
      <c r="S514" s="93">
        <v>2909284.5308940001</v>
      </c>
      <c r="U514" s="187" t="s">
        <v>6580</v>
      </c>
      <c r="V514" s="187">
        <v>21767</v>
      </c>
      <c r="W514" s="186">
        <v>2297.060872</v>
      </c>
      <c r="X514" s="186">
        <f t="shared" si="105"/>
        <v>50000124.000823997</v>
      </c>
      <c r="Y514" s="258" t="s">
        <v>6582</v>
      </c>
    </row>
    <row r="515" spans="15:28">
      <c r="R515" s="97" t="s">
        <v>5750</v>
      </c>
      <c r="S515" s="93">
        <v>37723205.094084002</v>
      </c>
      <c r="U515" s="19" t="s">
        <v>6580</v>
      </c>
      <c r="V515" s="19">
        <v>4353</v>
      </c>
      <c r="W515" s="115">
        <v>2297.060872</v>
      </c>
      <c r="X515" s="115">
        <f t="shared" si="105"/>
        <v>9999105.9758160003</v>
      </c>
      <c r="Y515" s="259" t="s">
        <v>6583</v>
      </c>
      <c r="AA515" t="s">
        <v>25</v>
      </c>
    </row>
    <row r="516" spans="15:28">
      <c r="P516" t="s">
        <v>25</v>
      </c>
      <c r="R516" s="97" t="s">
        <v>5751</v>
      </c>
      <c r="S516" s="93">
        <v>1500094.75168</v>
      </c>
      <c r="U516" s="19" t="s">
        <v>6580</v>
      </c>
      <c r="V516" s="19">
        <v>226</v>
      </c>
      <c r="W516" s="115">
        <v>2297.060872</v>
      </c>
      <c r="X516" s="115">
        <f t="shared" si="105"/>
        <v>519135.75707200001</v>
      </c>
      <c r="Y516" s="259" t="s">
        <v>5097</v>
      </c>
      <c r="AB516" t="s">
        <v>25</v>
      </c>
    </row>
    <row r="517" spans="15:28">
      <c r="R517" s="97" t="s">
        <v>5753</v>
      </c>
      <c r="S517" s="93">
        <v>7230628.4378079996</v>
      </c>
      <c r="U517" s="19" t="s">
        <v>6586</v>
      </c>
      <c r="V517" s="19">
        <v>1416</v>
      </c>
      <c r="W517" s="115">
        <v>2405.6595360000001</v>
      </c>
      <c r="X517" s="115">
        <f t="shared" si="105"/>
        <v>3406413.9029760002</v>
      </c>
      <c r="Y517" s="259" t="s">
        <v>5097</v>
      </c>
      <c r="AA517" t="s">
        <v>25</v>
      </c>
    </row>
    <row r="518" spans="15:28">
      <c r="R518" s="97" t="s">
        <v>5754</v>
      </c>
      <c r="S518" s="93">
        <v>29767389.390390001</v>
      </c>
      <c r="U518" s="19" t="s">
        <v>6588</v>
      </c>
      <c r="V518" s="19">
        <v>172</v>
      </c>
      <c r="W518" s="115">
        <v>2529.2810939999999</v>
      </c>
      <c r="X518" s="115">
        <f t="shared" si="105"/>
        <v>435036.348168</v>
      </c>
      <c r="Y518" s="259" t="s">
        <v>5097</v>
      </c>
      <c r="AA518" t="s">
        <v>25</v>
      </c>
    </row>
    <row r="519" spans="15:28">
      <c r="R519" s="97" t="s">
        <v>5756</v>
      </c>
      <c r="S519" s="93">
        <v>151560.25597</v>
      </c>
      <c r="U519" s="19" t="s">
        <v>6596</v>
      </c>
      <c r="V519" s="19">
        <v>-3909</v>
      </c>
      <c r="W519" s="115">
        <v>2881.8852230000002</v>
      </c>
      <c r="X519" s="115">
        <f>V519*W519</f>
        <v>-11265289.336707002</v>
      </c>
      <c r="Y519" s="259" t="s">
        <v>6597</v>
      </c>
    </row>
    <row r="520" spans="15:28">
      <c r="R520" s="97" t="s">
        <v>5759</v>
      </c>
      <c r="S520" s="93">
        <v>481318.88078800001</v>
      </c>
      <c r="U520" s="187" t="s">
        <v>6596</v>
      </c>
      <c r="V520" s="187">
        <v>-932</v>
      </c>
      <c r="W520" s="186">
        <v>2881.8852230000002</v>
      </c>
      <c r="X520" s="186">
        <f t="shared" si="105"/>
        <v>-2685917.0278360001</v>
      </c>
      <c r="Y520" s="258" t="s">
        <v>6598</v>
      </c>
      <c r="AB520" t="s">
        <v>25</v>
      </c>
    </row>
    <row r="521" spans="15:28">
      <c r="R521" s="97" t="s">
        <v>5771</v>
      </c>
      <c r="S521" s="93">
        <v>146277.56820000001</v>
      </c>
      <c r="U521" s="19" t="s">
        <v>6608</v>
      </c>
      <c r="V521" s="19">
        <v>33</v>
      </c>
      <c r="W521" s="115">
        <v>2905.0202519999998</v>
      </c>
      <c r="X521" s="115">
        <f t="shared" si="105"/>
        <v>95865.668315999996</v>
      </c>
      <c r="Y521" s="259" t="s">
        <v>4406</v>
      </c>
    </row>
    <row r="522" spans="15:28">
      <c r="R522" s="97" t="s">
        <v>5774</v>
      </c>
      <c r="S522" s="93">
        <v>424693.40162399999</v>
      </c>
      <c r="U522" s="187" t="s">
        <v>6626</v>
      </c>
      <c r="V522" s="187">
        <v>10421</v>
      </c>
      <c r="W522" s="186">
        <v>2780.2819920000002</v>
      </c>
      <c r="X522" s="186">
        <f t="shared" si="105"/>
        <v>28973318.638632003</v>
      </c>
      <c r="Y522" s="258" t="s">
        <v>6628</v>
      </c>
    </row>
    <row r="523" spans="15:28">
      <c r="R523" s="97" t="s">
        <v>5776</v>
      </c>
      <c r="S523" s="93">
        <v>558320.40202399995</v>
      </c>
      <c r="U523" s="19" t="s">
        <v>6626</v>
      </c>
      <c r="V523" s="19">
        <v>835</v>
      </c>
      <c r="W523" s="115">
        <v>2780.2819920000002</v>
      </c>
      <c r="X523" s="115">
        <f t="shared" si="105"/>
        <v>2321535.4633200001</v>
      </c>
      <c r="Y523" s="259" t="s">
        <v>5097</v>
      </c>
    </row>
    <row r="524" spans="15:28">
      <c r="R524" s="97" t="s">
        <v>5798</v>
      </c>
      <c r="S524" s="93">
        <v>207642.22201140001</v>
      </c>
      <c r="U524" s="19" t="s">
        <v>6907</v>
      </c>
      <c r="V524" s="19">
        <v>410</v>
      </c>
      <c r="W524" s="115">
        <v>2678.4068379999999</v>
      </c>
      <c r="X524" s="115">
        <f t="shared" si="105"/>
        <v>1098146.8035800001</v>
      </c>
      <c r="Y524" s="259" t="s">
        <v>5097</v>
      </c>
    </row>
    <row r="525" spans="15:28">
      <c r="R525" s="97" t="s">
        <v>5798</v>
      </c>
      <c r="S525" s="93">
        <v>33832510.64875</v>
      </c>
      <c r="U525" s="19" t="s">
        <v>6912</v>
      </c>
      <c r="V525" s="19">
        <v>201</v>
      </c>
      <c r="W525" s="115">
        <v>2688.6794049999999</v>
      </c>
      <c r="X525" s="115">
        <f t="shared" si="105"/>
        <v>540424.560405</v>
      </c>
      <c r="Y525" s="259" t="s">
        <v>5097</v>
      </c>
      <c r="AA525" t="s">
        <v>25</v>
      </c>
    </row>
    <row r="526" spans="15:28">
      <c r="R526" s="97" t="s">
        <v>5807</v>
      </c>
      <c r="S526" s="93">
        <v>637977.33504399995</v>
      </c>
      <c r="U526" s="19" t="s">
        <v>6914</v>
      </c>
      <c r="V526" s="19">
        <v>1133</v>
      </c>
      <c r="W526" s="115">
        <v>2455.1740869999999</v>
      </c>
      <c r="X526" s="115">
        <f t="shared" si="105"/>
        <v>2781712.2405709997</v>
      </c>
      <c r="Y526" s="259" t="s">
        <v>5097</v>
      </c>
      <c r="AA526" t="s">
        <v>25</v>
      </c>
      <c r="AB526" t="s">
        <v>25</v>
      </c>
    </row>
    <row r="527" spans="15:28">
      <c r="O527" s="112"/>
      <c r="R527" s="97" t="s">
        <v>5808</v>
      </c>
      <c r="S527" s="93">
        <v>466552.25632400002</v>
      </c>
      <c r="U527" s="19" t="s">
        <v>6917</v>
      </c>
      <c r="V527" s="19">
        <v>59</v>
      </c>
      <c r="W527" s="115">
        <v>2706.4553110000002</v>
      </c>
      <c r="X527" s="115">
        <f t="shared" si="105"/>
        <v>159680.86334900002</v>
      </c>
      <c r="Y527" s="259" t="s">
        <v>6918</v>
      </c>
      <c r="Z527" t="s">
        <v>25</v>
      </c>
      <c r="AA527" t="s">
        <v>25</v>
      </c>
      <c r="AB527" t="s">
        <v>25</v>
      </c>
    </row>
    <row r="528" spans="15:28">
      <c r="R528" s="97" t="s">
        <v>5809</v>
      </c>
      <c r="S528" s="93">
        <v>149316.98805000001</v>
      </c>
      <c r="U528" s="19" t="s">
        <v>6943</v>
      </c>
      <c r="V528" s="19">
        <v>4795</v>
      </c>
      <c r="W528" s="115">
        <v>2908.4025580000002</v>
      </c>
      <c r="X528" s="115">
        <f t="shared" si="105"/>
        <v>13945790.265610002</v>
      </c>
      <c r="Y528" s="259" t="s">
        <v>5337</v>
      </c>
    </row>
    <row r="529" spans="18:28">
      <c r="R529" s="97" t="s">
        <v>5809</v>
      </c>
      <c r="S529" s="93">
        <v>189134.85153000001</v>
      </c>
      <c r="U529" s="19" t="s">
        <v>6945</v>
      </c>
      <c r="V529" s="19">
        <v>164</v>
      </c>
      <c r="W529" s="115">
        <v>2792.1636870000002</v>
      </c>
      <c r="X529" s="115">
        <f t="shared" si="105"/>
        <v>457914.84466800001</v>
      </c>
      <c r="Y529" s="259" t="s">
        <v>5337</v>
      </c>
    </row>
    <row r="530" spans="18:28">
      <c r="R530" s="97" t="s">
        <v>5811</v>
      </c>
      <c r="S530" s="93">
        <v>564888.82799599995</v>
      </c>
      <c r="U530" s="19" t="s">
        <v>6947</v>
      </c>
      <c r="V530" s="19">
        <v>352</v>
      </c>
      <c r="W530" s="115">
        <v>2768.6657369999998</v>
      </c>
      <c r="X530" s="115">
        <f t="shared" si="105"/>
        <v>974570.33942399989</v>
      </c>
      <c r="Y530" s="259" t="s">
        <v>5337</v>
      </c>
    </row>
    <row r="531" spans="18:28">
      <c r="R531" s="97" t="s">
        <v>5814</v>
      </c>
      <c r="S531" s="93">
        <v>8762299.2047910001</v>
      </c>
      <c r="U531" s="19" t="s">
        <v>6949</v>
      </c>
      <c r="V531" s="19">
        <v>283</v>
      </c>
      <c r="W531" s="115">
        <v>2636.7439079999999</v>
      </c>
      <c r="X531" s="115">
        <f t="shared" si="105"/>
        <v>746198.52596400003</v>
      </c>
      <c r="Y531" s="259" t="s">
        <v>5337</v>
      </c>
      <c r="Z531" t="s">
        <v>25</v>
      </c>
    </row>
    <row r="532" spans="18:28">
      <c r="R532" s="97" t="s">
        <v>5814</v>
      </c>
      <c r="S532" s="93">
        <v>-341847876.93843603</v>
      </c>
      <c r="U532" s="19" t="s">
        <v>6952</v>
      </c>
      <c r="V532" s="19">
        <v>154</v>
      </c>
      <c r="W532" s="115">
        <v>2702</v>
      </c>
      <c r="X532" s="115">
        <f t="shared" si="105"/>
        <v>416108</v>
      </c>
      <c r="Y532" s="259" t="s">
        <v>5337</v>
      </c>
      <c r="Z532" t="s">
        <v>25</v>
      </c>
      <c r="AA532" t="s">
        <v>25</v>
      </c>
    </row>
    <row r="533" spans="18:28">
      <c r="R533" s="97" t="s">
        <v>5846</v>
      </c>
      <c r="S533" s="93">
        <v>259993.58394100002</v>
      </c>
      <c r="U533" s="19" t="s">
        <v>6966</v>
      </c>
      <c r="V533" s="19">
        <v>135</v>
      </c>
      <c r="W533" s="115">
        <v>2678.6709300000002</v>
      </c>
      <c r="X533" s="115">
        <f t="shared" si="105"/>
        <v>361620.57555000001</v>
      </c>
      <c r="Y533" s="259" t="s">
        <v>5337</v>
      </c>
      <c r="AA533" t="s">
        <v>25</v>
      </c>
    </row>
    <row r="534" spans="18:28">
      <c r="R534" s="97" t="s">
        <v>5847</v>
      </c>
      <c r="S534" s="93">
        <v>269955.31205999997</v>
      </c>
      <c r="U534" s="19" t="s">
        <v>6967</v>
      </c>
      <c r="V534" s="19">
        <v>291</v>
      </c>
      <c r="W534" s="115">
        <v>2616.1873500000002</v>
      </c>
      <c r="X534" s="115">
        <f t="shared" si="105"/>
        <v>761310.51884999999</v>
      </c>
      <c r="Y534" s="259" t="s">
        <v>5337</v>
      </c>
      <c r="AA534" t="s">
        <v>25</v>
      </c>
    </row>
    <row r="535" spans="18:28">
      <c r="R535" s="97" t="s">
        <v>6388</v>
      </c>
      <c r="S535" s="93">
        <v>560534.38387200003</v>
      </c>
      <c r="U535" s="19" t="s">
        <v>6970</v>
      </c>
      <c r="V535" s="19">
        <v>1194</v>
      </c>
      <c r="W535" s="115">
        <v>2552.0103049999998</v>
      </c>
      <c r="X535" s="115">
        <f t="shared" si="105"/>
        <v>3047100.3041699999</v>
      </c>
      <c r="Y535" s="259" t="s">
        <v>5337</v>
      </c>
      <c r="Z535" t="s">
        <v>25</v>
      </c>
      <c r="AA535" t="s">
        <v>25</v>
      </c>
    </row>
    <row r="536" spans="18:28">
      <c r="R536" s="97" t="s">
        <v>6390</v>
      </c>
      <c r="S536" s="93">
        <v>581484.96802499995</v>
      </c>
      <c r="U536" s="19" t="s">
        <v>6973</v>
      </c>
      <c r="V536" s="19">
        <v>928</v>
      </c>
      <c r="W536" s="115">
        <v>2626.1621239999999</v>
      </c>
      <c r="X536" s="115">
        <f t="shared" si="105"/>
        <v>2437078.451072</v>
      </c>
      <c r="Y536" s="259" t="s">
        <v>5337</v>
      </c>
    </row>
    <row r="537" spans="18:28">
      <c r="R537" s="97" t="s">
        <v>6392</v>
      </c>
      <c r="S537" s="93">
        <v>2136964.3409779998</v>
      </c>
      <c r="U537" s="187" t="s">
        <v>7030</v>
      </c>
      <c r="V537" s="187">
        <v>-15181</v>
      </c>
      <c r="W537" s="186">
        <v>2675.3319820000002</v>
      </c>
      <c r="X537" s="186">
        <f t="shared" si="105"/>
        <v>-40614214.818742</v>
      </c>
      <c r="Y537" s="258" t="s">
        <v>7031</v>
      </c>
      <c r="AB537" t="s">
        <v>25</v>
      </c>
    </row>
    <row r="538" spans="18:28">
      <c r="R538" s="97" t="s">
        <v>6395</v>
      </c>
      <c r="S538" s="93">
        <v>593783.22629999998</v>
      </c>
      <c r="U538" s="19" t="s">
        <v>7055</v>
      </c>
      <c r="V538" s="19">
        <v>3122</v>
      </c>
      <c r="W538" s="115">
        <v>2481.626972</v>
      </c>
      <c r="X538" s="115">
        <f t="shared" si="105"/>
        <v>7747639.4065840002</v>
      </c>
      <c r="Y538" s="259" t="s">
        <v>5337</v>
      </c>
      <c r="AB538" t="s">
        <v>5525</v>
      </c>
    </row>
    <row r="539" spans="18:28">
      <c r="R539" s="97" t="s">
        <v>6399</v>
      </c>
      <c r="S539" s="93">
        <v>469469.96222000004</v>
      </c>
      <c r="U539" s="19" t="s">
        <v>7057</v>
      </c>
      <c r="V539" s="19">
        <v>2209</v>
      </c>
      <c r="W539" s="115">
        <v>2528.2563839999998</v>
      </c>
      <c r="X539" s="115">
        <f t="shared" si="105"/>
        <v>5584918.3522559991</v>
      </c>
      <c r="Y539" s="259" t="s">
        <v>5337</v>
      </c>
      <c r="Z539" t="s">
        <v>25</v>
      </c>
    </row>
    <row r="540" spans="18:28">
      <c r="R540" s="97" t="s">
        <v>6437</v>
      </c>
      <c r="S540" s="93">
        <v>73977944.489465997</v>
      </c>
      <c r="U540" s="187" t="s">
        <v>7058</v>
      </c>
      <c r="V540" s="187">
        <v>2977</v>
      </c>
      <c r="W540" s="186">
        <v>2451.5674020000001</v>
      </c>
      <c r="X540" s="186">
        <f t="shared" si="105"/>
        <v>7298316.1557539999</v>
      </c>
      <c r="Y540" s="258" t="s">
        <v>1069</v>
      </c>
      <c r="Z540" t="s">
        <v>25</v>
      </c>
    </row>
    <row r="541" spans="18:28">
      <c r="R541" s="97" t="s">
        <v>6441</v>
      </c>
      <c r="S541" s="93">
        <v>570166.40976800001</v>
      </c>
      <c r="U541" s="19" t="s">
        <v>7058</v>
      </c>
      <c r="V541" s="19">
        <v>2857</v>
      </c>
      <c r="W541" s="115">
        <v>2451.5674020000001</v>
      </c>
      <c r="X541" s="115">
        <f t="shared" si="105"/>
        <v>7004128.0675140005</v>
      </c>
      <c r="Y541" s="259" t="s">
        <v>743</v>
      </c>
    </row>
    <row r="542" spans="18:28">
      <c r="R542" s="97" t="s">
        <v>6444</v>
      </c>
      <c r="S542" s="93">
        <v>3585319.2317280001</v>
      </c>
      <c r="U542" s="19" t="s">
        <v>7058</v>
      </c>
      <c r="V542" s="19">
        <v>234</v>
      </c>
      <c r="W542" s="115">
        <v>2451.5674020000001</v>
      </c>
      <c r="X542" s="115">
        <f t="shared" si="105"/>
        <v>573666.77206800005</v>
      </c>
      <c r="Y542" s="259" t="s">
        <v>5097</v>
      </c>
      <c r="Z542" t="s">
        <v>25</v>
      </c>
    </row>
    <row r="543" spans="18:28">
      <c r="R543" s="97" t="s">
        <v>6447</v>
      </c>
      <c r="S543" s="93">
        <v>676700.69889600005</v>
      </c>
      <c r="U543" s="19" t="s">
        <v>7071</v>
      </c>
      <c r="V543" s="19">
        <v>751</v>
      </c>
      <c r="W543" s="115">
        <v>2490.0381539999998</v>
      </c>
      <c r="X543" s="115">
        <f t="shared" si="105"/>
        <v>1870018.6536539998</v>
      </c>
      <c r="Y543" s="259" t="s">
        <v>5097</v>
      </c>
      <c r="AA543" t="s">
        <v>25</v>
      </c>
    </row>
    <row r="544" spans="18:28">
      <c r="R544" s="97" t="s">
        <v>6455</v>
      </c>
      <c r="S544" s="93">
        <v>1105777.5430340001</v>
      </c>
      <c r="U544" s="19" t="s">
        <v>7080</v>
      </c>
      <c r="V544" s="19">
        <v>44</v>
      </c>
      <c r="W544" s="115">
        <v>2664.1462569999999</v>
      </c>
      <c r="X544" s="115">
        <f t="shared" si="105"/>
        <v>117222.435308</v>
      </c>
      <c r="Y544" s="259" t="s">
        <v>5097</v>
      </c>
      <c r="AA544" t="s">
        <v>25</v>
      </c>
    </row>
    <row r="545" spans="18:28">
      <c r="R545" s="97" t="s">
        <v>6459</v>
      </c>
      <c r="S545" s="93">
        <v>2315234.8602510002</v>
      </c>
      <c r="U545" s="19" t="s">
        <v>7084</v>
      </c>
      <c r="V545" s="19">
        <v>717</v>
      </c>
      <c r="W545" s="115">
        <v>2706.9144700000002</v>
      </c>
      <c r="X545" s="115">
        <f t="shared" si="105"/>
        <v>1940857.6749900002</v>
      </c>
      <c r="Y545" s="259" t="s">
        <v>5097</v>
      </c>
    </row>
    <row r="546" spans="18:28">
      <c r="R546" s="97" t="s">
        <v>6461</v>
      </c>
      <c r="S546" s="93">
        <v>4136360.6541840001</v>
      </c>
      <c r="U546" s="19" t="s">
        <v>7121</v>
      </c>
      <c r="V546" s="19">
        <v>86686</v>
      </c>
      <c r="W546" s="115">
        <v>2307.1718759999999</v>
      </c>
      <c r="X546" s="115">
        <f t="shared" si="105"/>
        <v>199999501.24293599</v>
      </c>
      <c r="Y546" s="489" t="s">
        <v>7132</v>
      </c>
      <c r="Z546" t="s">
        <v>25</v>
      </c>
    </row>
    <row r="547" spans="18:28">
      <c r="R547" s="97" t="s">
        <v>6463</v>
      </c>
      <c r="S547" s="93">
        <v>3035714.4702960001</v>
      </c>
      <c r="U547" s="19" t="s">
        <v>7139</v>
      </c>
      <c r="V547" s="19">
        <v>81</v>
      </c>
      <c r="W547" s="115">
        <v>2411.414808</v>
      </c>
      <c r="X547" s="115">
        <f t="shared" si="105"/>
        <v>195324.59944799999</v>
      </c>
      <c r="Y547" s="259" t="s">
        <v>5097</v>
      </c>
      <c r="AA547" t="s">
        <v>25</v>
      </c>
      <c r="AB547" t="s">
        <v>25</v>
      </c>
    </row>
    <row r="548" spans="18:28">
      <c r="R548" s="97" t="s">
        <v>6471</v>
      </c>
      <c r="S548" s="93">
        <v>-179906186.46823201</v>
      </c>
      <c r="U548" s="19" t="s">
        <v>7139</v>
      </c>
      <c r="V548" s="19">
        <v>8426</v>
      </c>
      <c r="W548" s="115">
        <v>2411.414808</v>
      </c>
      <c r="X548" s="115">
        <f t="shared" si="105"/>
        <v>20318581.172208</v>
      </c>
      <c r="Y548" s="489" t="s">
        <v>7140</v>
      </c>
    </row>
    <row r="549" spans="18:28">
      <c r="R549" s="97" t="s">
        <v>6476</v>
      </c>
      <c r="S549" s="93">
        <v>345069.28943499998</v>
      </c>
      <c r="U549" s="19" t="s">
        <v>7142</v>
      </c>
      <c r="V549" s="19">
        <v>1242</v>
      </c>
      <c r="W549" s="115">
        <v>2330.0938919999999</v>
      </c>
      <c r="X549" s="115">
        <f t="shared" si="105"/>
        <v>2893976.613864</v>
      </c>
      <c r="Y549" s="259" t="s">
        <v>5097</v>
      </c>
    </row>
    <row r="550" spans="18:28">
      <c r="R550" s="97" t="s">
        <v>6568</v>
      </c>
      <c r="S550" s="93">
        <v>567785.37859199999</v>
      </c>
      <c r="U550" s="19" t="s">
        <v>7143</v>
      </c>
      <c r="V550" s="19">
        <v>149</v>
      </c>
      <c r="W550" s="115">
        <v>2336.750747</v>
      </c>
      <c r="X550" s="115">
        <f t="shared" si="105"/>
        <v>348175.86130300001</v>
      </c>
      <c r="Y550" s="259" t="s">
        <v>5097</v>
      </c>
    </row>
    <row r="551" spans="18:28">
      <c r="R551" s="97" t="s">
        <v>6579</v>
      </c>
      <c r="S551" s="93">
        <v>189683.91675</v>
      </c>
      <c r="U551" s="19"/>
      <c r="V551" s="19"/>
      <c r="W551" s="115"/>
      <c r="X551" s="115"/>
      <c r="Y551" s="259"/>
    </row>
    <row r="552" spans="18:28">
      <c r="R552" s="97" t="s">
        <v>6580</v>
      </c>
      <c r="S552" s="93">
        <v>10000000</v>
      </c>
      <c r="U552" s="19"/>
      <c r="V552" s="19"/>
      <c r="W552" s="115"/>
      <c r="X552" s="115"/>
      <c r="Y552" s="259"/>
    </row>
    <row r="553" spans="18:28">
      <c r="R553" s="97" t="s">
        <v>6580</v>
      </c>
      <c r="S553" s="93">
        <v>519135.75707200001</v>
      </c>
      <c r="U553" s="19"/>
      <c r="V553" s="19"/>
      <c r="W553" s="115"/>
      <c r="X553" s="115"/>
      <c r="Y553" s="489"/>
    </row>
    <row r="554" spans="18:28">
      <c r="R554" s="97" t="s">
        <v>6586</v>
      </c>
      <c r="S554" s="93">
        <v>3406413.9029760002</v>
      </c>
      <c r="U554" s="19"/>
      <c r="V554" s="19"/>
      <c r="W554" s="115"/>
      <c r="X554" s="115">
        <f t="shared" si="105"/>
        <v>0</v>
      </c>
      <c r="Y554" s="259"/>
      <c r="AA554" t="s">
        <v>25</v>
      </c>
    </row>
    <row r="555" spans="18:28">
      <c r="R555" s="97" t="s">
        <v>6588</v>
      </c>
      <c r="S555" s="93">
        <v>435036.348168</v>
      </c>
      <c r="U555" s="97"/>
      <c r="V555" s="166"/>
      <c r="W555" s="111"/>
      <c r="X555" s="115">
        <f t="shared" si="105"/>
        <v>0</v>
      </c>
      <c r="Y555" s="97"/>
    </row>
    <row r="556" spans="18:28">
      <c r="R556" s="97" t="s">
        <v>6626</v>
      </c>
      <c r="S556" s="93">
        <v>2321535.4633200001</v>
      </c>
      <c r="U556" s="166"/>
      <c r="V556" s="166">
        <f>SUM(V185:V555)</f>
        <v>4419105</v>
      </c>
      <c r="W556" s="97"/>
      <c r="X556" s="97"/>
      <c r="Y556" s="97"/>
    </row>
    <row r="557" spans="18:28">
      <c r="R557" s="97" t="s">
        <v>6907</v>
      </c>
      <c r="S557" s="93">
        <v>1098146.8035800001</v>
      </c>
      <c r="U557" s="97"/>
      <c r="V557" s="97" t="s">
        <v>6</v>
      </c>
      <c r="W557" s="97"/>
      <c r="X557" s="97"/>
      <c r="Y557" s="97"/>
    </row>
    <row r="558" spans="18:28">
      <c r="R558" s="97" t="s">
        <v>6912</v>
      </c>
      <c r="S558" s="93">
        <v>540424.560405</v>
      </c>
      <c r="U558" s="196" t="s">
        <v>4433</v>
      </c>
      <c r="AA558" t="s">
        <v>25</v>
      </c>
    </row>
    <row r="559" spans="18:28">
      <c r="R559" s="97" t="s">
        <v>6914</v>
      </c>
      <c r="S559" s="93">
        <v>2781712.2405709997</v>
      </c>
      <c r="U559" s="195">
        <f>S201/V556</f>
        <v>2311.0315855812432</v>
      </c>
      <c r="Y559" t="s">
        <v>25</v>
      </c>
    </row>
    <row r="560" spans="18:28">
      <c r="R560" s="97" t="s">
        <v>6917</v>
      </c>
      <c r="S560" s="93">
        <v>159680.86334900002</v>
      </c>
      <c r="X560" s="112"/>
      <c r="Z560" t="s">
        <v>25</v>
      </c>
    </row>
    <row r="561" spans="18:26">
      <c r="R561" s="97" t="s">
        <v>6943</v>
      </c>
      <c r="S561" s="93">
        <v>13945790.265610002</v>
      </c>
      <c r="V561" s="94" t="s">
        <v>267</v>
      </c>
      <c r="W561" t="s">
        <v>4434</v>
      </c>
      <c r="Y561" t="s">
        <v>25</v>
      </c>
    </row>
    <row r="562" spans="18:26">
      <c r="R562" s="97" t="s">
        <v>6945</v>
      </c>
      <c r="S562" s="93">
        <v>457914.84466800001</v>
      </c>
      <c r="U562" s="112"/>
      <c r="V562" s="93">
        <v>349556</v>
      </c>
      <c r="W562">
        <f>V562/U559</f>
        <v>151.25539701876633</v>
      </c>
      <c r="Y562" t="s">
        <v>25</v>
      </c>
    </row>
    <row r="563" spans="18:26">
      <c r="R563" s="97" t="s">
        <v>6947</v>
      </c>
      <c r="S563" s="93">
        <v>974570.33942399989</v>
      </c>
      <c r="U563" t="s">
        <v>25</v>
      </c>
      <c r="Y563" t="s">
        <v>25</v>
      </c>
    </row>
    <row r="564" spans="18:26">
      <c r="R564" s="97" t="s">
        <v>6949</v>
      </c>
      <c r="S564" s="93">
        <v>746198.52596400003</v>
      </c>
      <c r="U564" t="s">
        <v>25</v>
      </c>
      <c r="V564" s="94" t="s">
        <v>25</v>
      </c>
      <c r="W564" s="22"/>
      <c r="X564" s="212"/>
      <c r="Y564" s="268" t="s">
        <v>25</v>
      </c>
      <c r="Z564" t="s">
        <v>25</v>
      </c>
    </row>
    <row r="565" spans="18:26">
      <c r="R565" s="97" t="s">
        <v>6952</v>
      </c>
      <c r="S565" s="93">
        <v>416108</v>
      </c>
      <c r="W565" t="s">
        <v>25</v>
      </c>
      <c r="X565" s="94" t="s">
        <v>25</v>
      </c>
      <c r="Y565" t="s">
        <v>25</v>
      </c>
    </row>
    <row r="566" spans="18:26">
      <c r="R566" s="97" t="s">
        <v>6966</v>
      </c>
      <c r="S566" s="93">
        <v>361620.57555000001</v>
      </c>
      <c r="U566" t="s">
        <v>25</v>
      </c>
      <c r="X566" s="112"/>
      <c r="Y566" s="112"/>
    </row>
    <row r="567" spans="18:26">
      <c r="R567" s="97" t="s">
        <v>6967</v>
      </c>
      <c r="S567" s="93">
        <v>761310.51884999999</v>
      </c>
      <c r="U567" s="22"/>
      <c r="W567" s="212"/>
    </row>
    <row r="568" spans="18:26">
      <c r="R568" s="97" t="s">
        <v>6970</v>
      </c>
      <c r="S568" s="93">
        <v>3047100.3041699999</v>
      </c>
      <c r="U568" s="22"/>
      <c r="X568" s="268"/>
    </row>
    <row r="569" spans="18:26">
      <c r="R569" s="97" t="s">
        <v>6973</v>
      </c>
      <c r="S569" s="93">
        <v>2437078.451072</v>
      </c>
    </row>
    <row r="570" spans="18:26">
      <c r="R570" s="97" t="s">
        <v>7055</v>
      </c>
      <c r="S570" s="93">
        <v>7747639.4065840002</v>
      </c>
    </row>
    <row r="571" spans="18:26">
      <c r="R571" s="97" t="s">
        <v>7057</v>
      </c>
      <c r="S571" s="93">
        <v>5584918.3522559991</v>
      </c>
      <c r="U571" s="97" t="s">
        <v>4435</v>
      </c>
      <c r="V571" s="97" t="s">
        <v>4416</v>
      </c>
      <c r="W571" s="97" t="s">
        <v>936</v>
      </c>
      <c r="X571" s="410"/>
    </row>
    <row r="572" spans="18:26">
      <c r="R572" s="97" t="s">
        <v>7058</v>
      </c>
      <c r="S572" s="93">
        <v>573666.77206800005</v>
      </c>
      <c r="U572" s="93">
        <f>T254+S325+S584</f>
        <v>2617650354.7017269</v>
      </c>
      <c r="V572" s="93">
        <f>S201</f>
        <v>10212691235</v>
      </c>
      <c r="W572" s="93">
        <f>V572-U572</f>
        <v>7595040880.2982731</v>
      </c>
    </row>
    <row r="573" spans="18:26">
      <c r="R573" s="97" t="s">
        <v>7071</v>
      </c>
      <c r="S573" s="93">
        <v>1870018.6536539998</v>
      </c>
      <c r="X573" s="94" t="s">
        <v>25</v>
      </c>
    </row>
    <row r="574" spans="18:26">
      <c r="R574" s="97" t="s">
        <v>7080</v>
      </c>
      <c r="S574" s="93">
        <v>117222.435308</v>
      </c>
    </row>
    <row r="575" spans="18:26">
      <c r="R575" s="97" t="s">
        <v>7084</v>
      </c>
      <c r="S575" s="93">
        <v>1940857.6749900002</v>
      </c>
      <c r="U575" s="112"/>
      <c r="W575" s="112"/>
    </row>
    <row r="576" spans="18:26">
      <c r="R576" s="97" t="s">
        <v>7121</v>
      </c>
      <c r="S576" s="93">
        <v>200000000</v>
      </c>
    </row>
    <row r="577" spans="18:25">
      <c r="R577" s="97" t="s">
        <v>7139</v>
      </c>
      <c r="S577" s="93">
        <v>195324.59944799999</v>
      </c>
      <c r="U577" s="112"/>
    </row>
    <row r="578" spans="18:25">
      <c r="R578" s="97" t="s">
        <v>7139</v>
      </c>
      <c r="S578" s="93">
        <v>20318581.172208</v>
      </c>
    </row>
    <row r="579" spans="18:25">
      <c r="R579" s="97" t="s">
        <v>7142</v>
      </c>
      <c r="S579" s="93">
        <v>2893976.613864</v>
      </c>
      <c r="U579" s="112" t="s">
        <v>25</v>
      </c>
    </row>
    <row r="580" spans="18:25">
      <c r="R580" s="97" t="s">
        <v>7143</v>
      </c>
      <c r="S580" s="93">
        <v>348175.86130300001</v>
      </c>
      <c r="U580" t="s">
        <v>25</v>
      </c>
    </row>
    <row r="581" spans="18:25">
      <c r="R581" s="97"/>
      <c r="S581" s="93"/>
      <c r="U581" t="s">
        <v>25</v>
      </c>
      <c r="Y581" s="112"/>
    </row>
    <row r="582" spans="18:25">
      <c r="R582" s="97" t="s">
        <v>25</v>
      </c>
      <c r="S582" s="93"/>
      <c r="X582" s="94" t="s">
        <v>25</v>
      </c>
    </row>
    <row r="583" spans="18:25">
      <c r="R583" s="97" t="s">
        <v>25</v>
      </c>
      <c r="S583" s="97" t="s">
        <v>25</v>
      </c>
      <c r="U583" t="s">
        <v>25</v>
      </c>
    </row>
    <row r="584" spans="18:25">
      <c r="R584" s="97"/>
      <c r="S584" s="93">
        <f>SUM(S330:S583)</f>
        <v>2331169775.1364636</v>
      </c>
      <c r="U584" t="s">
        <v>25</v>
      </c>
    </row>
    <row r="585" spans="18:25">
      <c r="S585" s="97" t="s">
        <v>6</v>
      </c>
      <c r="U585" s="410" t="s">
        <v>25</v>
      </c>
      <c r="V585" s="410"/>
      <c r="W585" s="410"/>
    </row>
    <row r="586" spans="18:25">
      <c r="U586" s="410" t="s">
        <v>25</v>
      </c>
      <c r="V586" s="410"/>
      <c r="W586" s="410"/>
      <c r="X586" s="94" t="s">
        <v>25</v>
      </c>
    </row>
    <row r="587" spans="18:25">
      <c r="R587" t="s">
        <v>25</v>
      </c>
      <c r="U587" s="410"/>
      <c r="V587" s="410"/>
      <c r="W587" s="410"/>
      <c r="Y587" t="s">
        <v>25</v>
      </c>
    </row>
    <row r="588" spans="18:25">
      <c r="R588" t="s">
        <v>25</v>
      </c>
      <c r="U588" s="410"/>
      <c r="V588" s="410"/>
      <c r="W588" s="410" t="s">
        <v>25</v>
      </c>
    </row>
    <row r="589" spans="18:25">
      <c r="R589" t="s">
        <v>25</v>
      </c>
      <c r="S589" t="s">
        <v>25</v>
      </c>
      <c r="U589" s="410"/>
      <c r="V589" s="410"/>
      <c r="W589" s="410"/>
    </row>
    <row r="590" spans="18:25">
      <c r="R590" t="s">
        <v>25</v>
      </c>
      <c r="S590" t="s">
        <v>25</v>
      </c>
      <c r="U590" s="410"/>
      <c r="V590" s="410" t="s">
        <v>25</v>
      </c>
      <c r="W590" s="410"/>
    </row>
    <row r="591" spans="18:25">
      <c r="R591" s="112"/>
      <c r="S591" t="s">
        <v>25</v>
      </c>
      <c r="U591" s="410"/>
      <c r="V591" s="410"/>
      <c r="W591" s="410"/>
    </row>
    <row r="592" spans="18:25">
      <c r="U592" s="410"/>
      <c r="V592" s="410"/>
      <c r="W592" s="410"/>
    </row>
    <row r="593" spans="18:25">
      <c r="S593" t="s">
        <v>25</v>
      </c>
      <c r="U593" s="410"/>
      <c r="V593" s="410"/>
      <c r="W593" s="410"/>
    </row>
    <row r="594" spans="18:25">
      <c r="R594" t="s">
        <v>25</v>
      </c>
      <c r="U594" s="410"/>
      <c r="V594" s="410"/>
      <c r="W594" s="410"/>
    </row>
    <row r="595" spans="18:25">
      <c r="U595" s="410"/>
      <c r="V595" s="410"/>
      <c r="W595" s="410"/>
    </row>
    <row r="596" spans="18:25">
      <c r="U596" s="410"/>
      <c r="V596" s="410"/>
      <c r="W596" s="410"/>
      <c r="Y596" t="s">
        <v>25</v>
      </c>
    </row>
    <row r="597" spans="18:25">
      <c r="U597" s="410"/>
      <c r="V597" s="410"/>
      <c r="W597" s="410"/>
    </row>
    <row r="598" spans="18:25">
      <c r="U598" s="410"/>
      <c r="V598" s="410"/>
      <c r="W598" s="410"/>
    </row>
    <row r="599" spans="18:25">
      <c r="U599" s="410"/>
      <c r="V599" s="410"/>
      <c r="W599" s="410"/>
    </row>
    <row r="601" spans="18:25">
      <c r="U601" s="94"/>
      <c r="W601" s="94"/>
    </row>
    <row r="602" spans="18:25">
      <c r="U602" s="94"/>
      <c r="W602" s="94"/>
      <c r="X602" s="112"/>
    </row>
    <row r="603" spans="18:25">
      <c r="U603" s="94"/>
      <c r="W603" s="94"/>
    </row>
    <row r="604" spans="18:25">
      <c r="U604" s="94"/>
      <c r="W604" s="94"/>
    </row>
    <row r="606" spans="18:25">
      <c r="V60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A10" zoomScale="80" zoomScaleNormal="80" workbookViewId="0">
      <selection activeCell="R35" sqref="R35"/>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0.9064327485380117</v>
      </c>
      <c r="J1" s="392">
        <f t="shared" ref="J1:J38" si="2">I1/H1</f>
        <v>0.72792863701954613</v>
      </c>
      <c r="K1" s="32">
        <f t="shared" ref="K1:K39" si="3">(1/J1-1.0256)*100</f>
        <v>34.816103802486921</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0.9064327485380117</v>
      </c>
      <c r="J2" s="392">
        <f>I2/H2</f>
        <v>0.68735124482349363</v>
      </c>
      <c r="K2" s="32">
        <f t="shared" si="3"/>
        <v>42.926024435264097</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0.9064327485380117</v>
      </c>
      <c r="J3" s="392">
        <f t="shared" si="2"/>
        <v>0.68098341312758115</v>
      </c>
      <c r="K3" s="32">
        <f t="shared" si="3"/>
        <v>44.286454806770983</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11.724659606656582</v>
      </c>
      <c r="J4" s="32">
        <f t="shared" si="2"/>
        <v>0.73640968583781341</v>
      </c>
      <c r="K4" s="32">
        <f t="shared" si="3"/>
        <v>33.233977079796247</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11.724659606656582</v>
      </c>
      <c r="J5" s="32">
        <f t="shared" si="2"/>
        <v>0.72548640094905148</v>
      </c>
      <c r="K5" s="32">
        <f t="shared" si="3"/>
        <v>35.278558888470002</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11.724659606656582</v>
      </c>
      <c r="J6" s="32">
        <f t="shared" si="2"/>
        <v>0.7194305879194266</v>
      </c>
      <c r="K6" s="32">
        <f t="shared" si="3"/>
        <v>36.438816118170948</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11.724659606656582</v>
      </c>
      <c r="J7" s="32">
        <f t="shared" ref="J7:J9" si="7">I7/H7</f>
        <v>0.71702159506511109</v>
      </c>
      <c r="K7" s="32">
        <f t="shared" ref="K7:K9" si="8">(1/J7-1.0256)*100</f>
        <v>36.905813426329544</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11.724659606656582</v>
      </c>
      <c r="J8" s="32">
        <f t="shared" si="7"/>
        <v>0.77495121329861738</v>
      </c>
      <c r="K8" s="32">
        <f t="shared" si="8"/>
        <v>26.480381231671537</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11.724659606656582</v>
      </c>
      <c r="J9" s="32">
        <f t="shared" si="7"/>
        <v>0.7288937020502636</v>
      </c>
      <c r="K9" s="32">
        <f t="shared" si="8"/>
        <v>34.634215999830545</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11.724659606656582</v>
      </c>
      <c r="J10" s="32">
        <f>I10/H10</f>
        <v>0.71763022822160938</v>
      </c>
      <c r="K10" s="32">
        <f t="shared" ref="K10" si="11">(1/J10-1.0256)*100</f>
        <v>36.787530339983498</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12.934947049924357</v>
      </c>
      <c r="J11" s="392">
        <f>I11/H11</f>
        <v>1.2548668184069092</v>
      </c>
      <c r="K11" s="392">
        <f>(1/J11-1.0256)*100</f>
        <v>-22.870268362221125</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12.934947049924357</v>
      </c>
      <c r="J12" s="392">
        <f t="shared" si="2"/>
        <v>1.2442477704694757</v>
      </c>
      <c r="K12" s="392">
        <f t="shared" si="3"/>
        <v>-22.190155365061813</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12.934947049924357</v>
      </c>
      <c r="J13" s="392">
        <f t="shared" si="2"/>
        <v>1.2322628970236227</v>
      </c>
      <c r="K13" s="392">
        <f t="shared" si="3"/>
        <v>-21.408485788594689</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12.934947049924357</v>
      </c>
      <c r="J14" s="392">
        <f t="shared" si="2"/>
        <v>1.2162032814955239</v>
      </c>
      <c r="K14" s="392">
        <f t="shared" si="3"/>
        <v>-20.336903317483745</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12.934947049924357</v>
      </c>
      <c r="J15" s="392">
        <f t="shared" si="2"/>
        <v>1.2261310857827639</v>
      </c>
      <c r="K15" s="392">
        <f t="shared" si="3"/>
        <v>-21.002651720097411</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12.934947049924357</v>
      </c>
      <c r="J16" s="392">
        <f t="shared" si="2"/>
        <v>1.1956293883295448</v>
      </c>
      <c r="K16" s="392">
        <f t="shared" si="3"/>
        <v>-18.922042472280264</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12.934947049924357</v>
      </c>
      <c r="J17" s="392">
        <f t="shared" si="2"/>
        <v>1.1726179072333172</v>
      </c>
      <c r="K17" s="392">
        <f t="shared" si="3"/>
        <v>-17.280729247653493</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12.934947049924357</v>
      </c>
      <c r="J18" s="392">
        <f t="shared" si="2"/>
        <v>1.1506513351264007</v>
      </c>
      <c r="K18" s="392">
        <f t="shared" si="3"/>
        <v>-15.652700675470166</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12.934947049924357</v>
      </c>
      <c r="J19" s="392">
        <f t="shared" si="2"/>
        <v>1.1419438770404469</v>
      </c>
      <c r="K19" s="392">
        <f t="shared" si="3"/>
        <v>-14.990022166091045</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12.934947049924357</v>
      </c>
      <c r="J20" s="392">
        <f>I20/H20</f>
        <v>1.1209304170972079</v>
      </c>
      <c r="K20" s="392">
        <f t="shared" si="3"/>
        <v>-13.348396429670695</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12.934947049924357</v>
      </c>
      <c r="J21" s="392">
        <f t="shared" si="2"/>
        <v>1.051544130347891</v>
      </c>
      <c r="K21" s="392">
        <f t="shared" si="3"/>
        <v>-7.4617562706415619</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12.934947049924357</v>
      </c>
      <c r="J22" s="392">
        <f>I22/H22</f>
        <v>1.0542561458374591</v>
      </c>
      <c r="K22" s="392">
        <f t="shared" ref="K22" si="15">(1/J22-1.0256)*100</f>
        <v>-7.7063912306017617</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12.934947049924357</v>
      </c>
      <c r="J23" s="392">
        <f t="shared" ref="J23" si="16">I23/H23</f>
        <v>1.0400082554899397</v>
      </c>
      <c r="K23" s="392">
        <f t="shared" ref="K23" si="17">(1/J23-1.0256)*100</f>
        <v>-6.406917106546639</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12.934947049924357</v>
      </c>
      <c r="J24" s="392">
        <f t="shared" ref="J24:J25" si="19">I24/H24</f>
        <v>1.0300454368030452</v>
      </c>
      <c r="K24" s="392">
        <f t="shared" ref="K24:K25" si="20">(1/J24-1.0256)*100</f>
        <v>-5.4769040247678147</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12.934947049924357</v>
      </c>
      <c r="J25" s="392">
        <f t="shared" si="19"/>
        <v>1.0304818324738574</v>
      </c>
      <c r="K25" s="392">
        <f t="shared" si="20"/>
        <v>-5.5180174548716039</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3.362156663275687</v>
      </c>
      <c r="J26" s="392">
        <f>I26/H26</f>
        <v>1.2484148069040915</v>
      </c>
      <c r="K26" s="392">
        <f>(1/J26-1.0256)*100</f>
        <v>-22.458418821235259</v>
      </c>
      <c r="L26" s="392"/>
      <c r="M26" s="392"/>
      <c r="N26" s="392">
        <f>1</f>
        <v>1</v>
      </c>
      <c r="O26" s="397">
        <f t="shared" ref="O26:O28" si="25">F26-C26</f>
        <v>-757.56700000000001</v>
      </c>
      <c r="P26" s="397">
        <f>R29-R28</f>
        <v>-928.8</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3.362156663275687</v>
      </c>
      <c r="J27" s="392">
        <f t="shared" ref="J27" si="26">I27/H27</f>
        <v>1.2368976394627029</v>
      </c>
      <c r="K27" s="392">
        <f>(1/J27-1.0256)*100</f>
        <v>-21.712566219271721</v>
      </c>
      <c r="L27" s="392"/>
      <c r="M27" s="392"/>
      <c r="N27" s="392">
        <f>H27/H26</f>
        <v>1.0093113343205924</v>
      </c>
      <c r="O27" s="397">
        <f t="shared" si="25"/>
        <v>-774.33699999999999</v>
      </c>
      <c r="P27" s="397"/>
      <c r="Q27" s="67" t="s">
        <v>5845</v>
      </c>
      <c r="R27" s="300">
        <v>2400</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3.362156663275687</v>
      </c>
      <c r="J28" s="392">
        <f t="shared" ref="J28" si="27">I28/H28</f>
        <v>1.2102599447692044</v>
      </c>
      <c r="K28" s="392">
        <f t="shared" ref="K28" si="28">(1/J28-1.0256)*100</f>
        <v>-19.933122664924753</v>
      </c>
      <c r="L28" s="392"/>
      <c r="M28" s="392"/>
      <c r="N28" s="392">
        <f t="shared" ref="N28" si="29">H28/H27</f>
        <v>1.0220098953192887</v>
      </c>
      <c r="O28" s="397">
        <f t="shared" si="25"/>
        <v>-831.53300000000013</v>
      </c>
      <c r="P28" s="40"/>
      <c r="Q28" s="97" t="s">
        <v>4216</v>
      </c>
      <c r="R28" s="276">
        <v>1322</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3.362156663275687</v>
      </c>
      <c r="J29" s="392">
        <f t="shared" ref="J29" si="30">I29/H29</f>
        <v>1.189059502358768</v>
      </c>
      <c r="K29" s="392">
        <f t="shared" ref="K29" si="31">(1/J29-1.0256)*100</f>
        <v>-18.459919388703916</v>
      </c>
      <c r="L29" s="392"/>
      <c r="M29" s="392"/>
      <c r="N29" s="392">
        <f t="shared" ref="N29" si="32">H29/H28</f>
        <v>1.0178295891571285</v>
      </c>
      <c r="O29" s="397">
        <f t="shared" ref="O29" si="33">F29-C29</f>
        <v>-844.76670000000001</v>
      </c>
      <c r="P29" s="40"/>
      <c r="Q29" s="97" t="s">
        <v>5261</v>
      </c>
      <c r="R29" s="286">
        <v>393.2</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3.362156663275687</v>
      </c>
      <c r="J30" s="392">
        <f t="shared" ref="J30" si="34">I30/H30</f>
        <v>1.1874185531492785</v>
      </c>
      <c r="K30" s="392">
        <f t="shared" ref="K30:K31" si="35">(1/J30-1.0256)*100</f>
        <v>-18.343697555693904</v>
      </c>
      <c r="L30" s="392"/>
      <c r="M30" s="392"/>
      <c r="N30" s="392">
        <f t="shared" ref="N30:N31" si="36">H30/H29</f>
        <v>1.0013819467492211</v>
      </c>
      <c r="O30" s="397">
        <f>F30-C30</f>
        <v>-987.06</v>
      </c>
      <c r="P30" s="40"/>
      <c r="Q30" s="97" t="s">
        <v>5790</v>
      </c>
      <c r="R30" s="343">
        <v>1187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3.362156663275687</v>
      </c>
      <c r="J31" s="392">
        <f>I31/H31</f>
        <v>1.1839983356516566</v>
      </c>
      <c r="K31" s="392">
        <f t="shared" si="35"/>
        <v>-18.10042181574406</v>
      </c>
      <c r="L31" s="392"/>
      <c r="M31" s="392"/>
      <c r="N31" s="392">
        <f t="shared" si="36"/>
        <v>1.0028887012714756</v>
      </c>
      <c r="O31" s="397">
        <f>F31-C31</f>
        <v>-952.33299999999997</v>
      </c>
      <c r="P31" s="40"/>
      <c r="Q31" s="97" t="s">
        <v>4358</v>
      </c>
      <c r="R31" s="275">
        <v>15500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3.362156663275687</v>
      </c>
      <c r="J32" s="392">
        <f t="shared" ref="J32:J33" si="37">I32/H32</f>
        <v>1.16649244197367</v>
      </c>
      <c r="K32" s="392">
        <f t="shared" ref="K32:K33" si="38">(1/J32-1.0256)*100</f>
        <v>-16.83291219238162</v>
      </c>
      <c r="L32" s="392"/>
      <c r="M32" s="392"/>
      <c r="N32" s="392">
        <f t="shared" ref="N32:N33" si="39">H32/H31</f>
        <v>1.0150072928448359</v>
      </c>
      <c r="O32" s="397">
        <f t="shared" ref="O32:O35" si="40">F32-C32</f>
        <v>-964.28399999999988</v>
      </c>
      <c r="P32" s="40"/>
      <c r="Q32" s="97" t="s">
        <v>4354</v>
      </c>
      <c r="R32" s="285">
        <v>17100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3.362156663275687</v>
      </c>
      <c r="J33" s="392">
        <f t="shared" si="37"/>
        <v>1.1453522889114955</v>
      </c>
      <c r="K33" s="392">
        <f t="shared" si="38"/>
        <v>-15.250618451518838</v>
      </c>
      <c r="L33" s="392"/>
      <c r="M33" s="392"/>
      <c r="N33" s="392">
        <f t="shared" si="39"/>
        <v>1.0184573368969867</v>
      </c>
      <c r="O33" s="397">
        <f t="shared" si="40"/>
        <v>-989.01</v>
      </c>
      <c r="P33" s="40"/>
      <c r="Q33" s="97" t="s">
        <v>4652</v>
      </c>
      <c r="R33" s="433">
        <v>649</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3.362156663275687</v>
      </c>
      <c r="J34" s="392">
        <f t="shared" ref="J34" si="41">I34/H34</f>
        <v>1.123518695536146</v>
      </c>
      <c r="K34" s="392">
        <f t="shared" ref="K34" si="42">(1/J34-1.0256)*100</f>
        <v>-13.553915457472886</v>
      </c>
      <c r="L34" s="392"/>
      <c r="M34" s="392"/>
      <c r="N34" s="392">
        <f t="shared" ref="N34:N36" si="43">H34/H33</f>
        <v>1.0194332265783352</v>
      </c>
      <c r="O34" s="397">
        <f t="shared" si="40"/>
        <v>-1012.7334000000001</v>
      </c>
      <c r="P34" s="40"/>
      <c r="Q34" s="67" t="s">
        <v>1068</v>
      </c>
      <c r="R34" s="344">
        <v>11950000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3.362156663275687</v>
      </c>
      <c r="J35" s="392">
        <f t="shared" ref="J35" si="44">I35/H35</f>
        <v>1.1223003506804499</v>
      </c>
      <c r="K35" s="392">
        <f t="shared" ref="K35" si="45">(1/J35-1.0256)*100</f>
        <v>-13.457292387576935</v>
      </c>
      <c r="L35" s="392"/>
      <c r="M35" s="392"/>
      <c r="N35" s="392">
        <f t="shared" si="43"/>
        <v>1.0010855782544821</v>
      </c>
      <c r="O35" s="397">
        <f t="shared" si="40"/>
        <v>-1024.943</v>
      </c>
      <c r="P35" s="40" t="s">
        <v>25</v>
      </c>
      <c r="W35" s="348"/>
      <c r="Y35" s="348"/>
    </row>
    <row r="36" spans="1:25" ht="18.75">
      <c r="A36" s="488" t="s">
        <v>7121</v>
      </c>
      <c r="B36" s="386" t="s">
        <v>4216</v>
      </c>
      <c r="C36" s="383">
        <v>1268.3</v>
      </c>
      <c r="D36" s="386">
        <v>2.6</v>
      </c>
      <c r="E36" s="388" t="s">
        <v>5261</v>
      </c>
      <c r="F36" s="387">
        <v>398</v>
      </c>
      <c r="G36" s="292">
        <f t="shared" ref="G36:G37" si="46">C36*D36*0.9912/(F36*1.003631981)</f>
        <v>8.182745989876139</v>
      </c>
      <c r="H36" s="409">
        <f>C36/F36</f>
        <v>3.186683417085427</v>
      </c>
      <c r="I36" s="389">
        <f t="shared" si="24"/>
        <v>3.362156663275687</v>
      </c>
      <c r="J36" s="288">
        <f>I36/H36</f>
        <v>1.0550645367686853</v>
      </c>
      <c r="K36" s="392">
        <f t="shared" ref="K36:K37" si="47">(1/J36-1.0256)*100</f>
        <v>-7.7790681090779357</v>
      </c>
      <c r="L36" s="392"/>
      <c r="M36" s="392"/>
      <c r="N36" s="392">
        <f t="shared" si="43"/>
        <v>1.0637267309900167</v>
      </c>
      <c r="O36" s="397">
        <f t="shared" ref="O36:O37" si="48">F36-C36</f>
        <v>-870.3</v>
      </c>
      <c r="P36" s="40"/>
    </row>
    <row r="37" spans="1:25" ht="18.75">
      <c r="A37" s="488" t="s">
        <v>7143</v>
      </c>
      <c r="B37" s="386" t="s">
        <v>4216</v>
      </c>
      <c r="C37" s="383">
        <v>1328</v>
      </c>
      <c r="D37" s="386">
        <v>1</v>
      </c>
      <c r="E37" s="388" t="s">
        <v>5261</v>
      </c>
      <c r="F37" s="387">
        <v>395</v>
      </c>
      <c r="G37" s="292">
        <f t="shared" si="46"/>
        <v>3.3203799368275471</v>
      </c>
      <c r="H37" s="409">
        <f>C37/F37</f>
        <v>3.3620253164556964</v>
      </c>
      <c r="I37" s="389">
        <f t="shared" si="24"/>
        <v>3.362156663275687</v>
      </c>
      <c r="J37" s="288">
        <f>I37/H37</f>
        <v>1.0000390677664881</v>
      </c>
      <c r="K37" s="392">
        <f t="shared" si="47"/>
        <v>-2.5639066240257469</v>
      </c>
      <c r="L37" s="392"/>
      <c r="M37" s="392"/>
      <c r="N37" s="392">
        <f>H37/H36</f>
        <v>1.0550233193640048</v>
      </c>
      <c r="O37" s="397">
        <f t="shared" si="48"/>
        <v>-933</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43.489318413021365</v>
      </c>
      <c r="J38" s="32">
        <f t="shared" si="2"/>
        <v>1.4740873584592584</v>
      </c>
      <c r="K38" s="32">
        <f t="shared" si="3"/>
        <v>-34.721415382788635</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43.489318413021365</v>
      </c>
      <c r="J39" s="32">
        <f t="shared" ref="J39" si="50">I39/H39</f>
        <v>1.4568846764265684</v>
      </c>
      <c r="K39" s="398">
        <f t="shared" si="3"/>
        <v>-33.920387257775985</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1.8154311649016641</v>
      </c>
      <c r="J40" s="32">
        <f t="shared" ref="J40:J43" si="52">I40/H40</f>
        <v>1.0675575294890891</v>
      </c>
      <c r="K40" s="398">
        <f t="shared" ref="K40:K43" si="53">(1/J40-1.0256)*100</f>
        <v>-8.8882331511839769</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6.1037639877924725</v>
      </c>
      <c r="J41" s="32">
        <f t="shared" si="52"/>
        <v>1.2396133898681616</v>
      </c>
      <c r="K41" s="398">
        <f t="shared" si="53"/>
        <v>-21.889687128794698</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666</v>
      </c>
      <c r="G42" s="432">
        <f t="shared" si="0"/>
        <v>2.1943794581427665</v>
      </c>
      <c r="H42" s="432">
        <f t="shared" si="51"/>
        <v>2.2222222222222223</v>
      </c>
      <c r="I42" s="432">
        <f>$R$28/$R$33</f>
        <v>2.036979969183359</v>
      </c>
      <c r="J42" s="32">
        <f t="shared" si="52"/>
        <v>0.91664098613251155</v>
      </c>
      <c r="K42" s="398">
        <f t="shared" si="53"/>
        <v>6.533965372331485</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1.113732097725358</v>
      </c>
      <c r="J43" s="32">
        <f t="shared" si="52"/>
        <v>0.97944720716438682</v>
      </c>
      <c r="K43" s="32">
        <f t="shared" si="53"/>
        <v>-0.46159258352311827</v>
      </c>
      <c r="L43" s="32"/>
      <c r="M43" s="32"/>
      <c r="N43" s="32">
        <v>1</v>
      </c>
      <c r="O43" s="397">
        <f>F43-C43</f>
        <v>-185.5</v>
      </c>
      <c r="P43" s="397">
        <f>R30-R28</f>
        <v>-135</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9039.3343419062021</v>
      </c>
      <c r="J45" s="20">
        <f>I45/H45</f>
        <v>1.0607462342958627</v>
      </c>
      <c r="K45" s="20">
        <f>(1/J45-1.0153)*100</f>
        <v>-7.2567452225448577</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9039.3343419062021</v>
      </c>
      <c r="J46" s="20">
        <f t="shared" ref="J46:J47" si="54">I46/H46</f>
        <v>0.9864974329040942</v>
      </c>
      <c r="K46" s="20">
        <f t="shared" ref="K46:K47" si="55">(1/J46-1.0153)*100</f>
        <v>-0.1612618111781261</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9039.3343419062021</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11.724659606656582</v>
      </c>
      <c r="J52" s="97">
        <f t="shared" ref="J52:J58" si="60">I52/H52</f>
        <v>0.64634827016075436</v>
      </c>
      <c r="K52" s="97">
        <f t="shared" ref="K52:K58" si="61">(1/J52-1.0256)*100</f>
        <v>52.155351794983275</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11.724659606656582</v>
      </c>
      <c r="J53" s="97">
        <f t="shared" si="60"/>
        <v>0.60714848744333405</v>
      </c>
      <c r="K53" s="97">
        <f t="shared" si="61"/>
        <v>62.144354977633242</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11.724659606656582</v>
      </c>
      <c r="J54" s="97">
        <f t="shared" si="60"/>
        <v>0.58136055312758017</v>
      </c>
      <c r="K54" s="97">
        <f t="shared" si="61"/>
        <v>69.450294578853004</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11.724659606656582</v>
      </c>
      <c r="J55" s="97">
        <f t="shared" si="60"/>
        <v>0.56562897600313977</v>
      </c>
      <c r="K55" s="97">
        <f t="shared" si="61"/>
        <v>74.234337352768335</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11.724659606656582</v>
      </c>
      <c r="J56" s="97">
        <f t="shared" si="60"/>
        <v>0.56955790889225089</v>
      </c>
      <c r="K56" s="97">
        <f t="shared" si="61"/>
        <v>73.014772009562279</v>
      </c>
      <c r="L56" s="93">
        <v>0</v>
      </c>
      <c r="M56" s="93">
        <f t="shared" si="62"/>
        <v>0</v>
      </c>
      <c r="N56" s="97" t="s">
        <v>6471</v>
      </c>
      <c r="P56" t="s">
        <v>7146</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11.724659606656582</v>
      </c>
      <c r="J57" s="97">
        <f t="shared" si="60"/>
        <v>0.57124701955995749</v>
      </c>
      <c r="K57" s="97">
        <f t="shared" si="61"/>
        <v>72.495617930456618</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12.934947049924357</v>
      </c>
      <c r="J58" s="97">
        <f t="shared" si="60"/>
        <v>0.88316404875525578</v>
      </c>
      <c r="K58" s="97">
        <f t="shared" si="61"/>
        <v>10.669246753127503</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1315</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560</v>
      </c>
      <c r="C82" s="94">
        <f>$B$80-B82</f>
        <v>755</v>
      </c>
      <c r="D82" s="94">
        <f>(A82-C82)*100/C82</f>
        <v>19.205298013245034</v>
      </c>
      <c r="E82" s="94"/>
      <c r="P82" s="94"/>
      <c r="Q82" s="94" t="s">
        <v>25</v>
      </c>
      <c r="R82" s="94" t="s">
        <v>25</v>
      </c>
      <c r="S82" s="94"/>
      <c r="T82" s="94"/>
    </row>
    <row r="83" spans="1:26">
      <c r="A83" s="94">
        <v>1000</v>
      </c>
      <c r="B83" s="94">
        <v>500</v>
      </c>
      <c r="C83" s="457">
        <f>$B$80-B83</f>
        <v>815</v>
      </c>
      <c r="D83" s="457">
        <f>(A83-C83)*100/C83</f>
        <v>22.699386503067483</v>
      </c>
      <c r="E83" s="94"/>
      <c r="O83" s="94"/>
      <c r="P83" s="94"/>
      <c r="Q83" s="94" t="s">
        <v>25</v>
      </c>
      <c r="R83" s="94" t="s">
        <v>25</v>
      </c>
      <c r="S83" s="94"/>
      <c r="T83" s="94"/>
    </row>
    <row r="84" spans="1:26">
      <c r="A84" s="94">
        <v>1200</v>
      </c>
      <c r="B84" s="94">
        <v>330</v>
      </c>
      <c r="C84" s="457">
        <f>$B$80-B84</f>
        <v>985</v>
      </c>
      <c r="D84" s="457">
        <f>(A84-C84)*100/C84</f>
        <v>21.82741116751269</v>
      </c>
      <c r="E84" s="94"/>
      <c r="K84" t="s">
        <v>25</v>
      </c>
      <c r="O84" s="94"/>
      <c r="P84" s="94"/>
      <c r="Q84" s="94" t="s">
        <v>25</v>
      </c>
      <c r="R84" s="112" t="s">
        <v>25</v>
      </c>
      <c r="S84" s="94"/>
      <c r="T84" s="94"/>
    </row>
    <row r="85" spans="1:26">
      <c r="A85" s="94">
        <v>1400</v>
      </c>
      <c r="B85">
        <v>150</v>
      </c>
      <c r="C85" s="457">
        <f>$B$80-B85</f>
        <v>1165</v>
      </c>
      <c r="D85" s="457">
        <f>(A85-C85)*100/C85</f>
        <v>20.171673819742491</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8" t="s">
        <v>6488</v>
      </c>
      <c r="C1" s="498"/>
      <c r="D1" s="498" t="s">
        <v>6489</v>
      </c>
      <c r="E1" s="498"/>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7138</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7138</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9" t="s">
        <v>1071</v>
      </c>
      <c r="R21" s="499"/>
      <c r="S21" s="499"/>
      <c r="T21" s="499"/>
      <c r="U21" s="94"/>
      <c r="V21" s="94"/>
      <c r="W21" s="41" t="s">
        <v>4942</v>
      </c>
      <c r="X21" s="41">
        <v>9035210431</v>
      </c>
      <c r="Y21" s="41">
        <v>50</v>
      </c>
      <c r="Z21" s="41" t="s">
        <v>5204</v>
      </c>
      <c r="AA21" t="s">
        <v>4960</v>
      </c>
    </row>
    <row r="22" spans="5:35">
      <c r="O22" s="97"/>
      <c r="P22" s="97"/>
      <c r="Q22" s="499"/>
      <c r="R22" s="499"/>
      <c r="S22" s="499"/>
      <c r="T22" s="499"/>
      <c r="U22" s="94"/>
      <c r="V22" s="94"/>
      <c r="W22" s="41" t="s">
        <v>5029</v>
      </c>
      <c r="X22" s="41">
        <v>9909620343</v>
      </c>
      <c r="Y22" s="41">
        <v>200</v>
      </c>
      <c r="Z22" s="41" t="s">
        <v>5205</v>
      </c>
      <c r="AA22" t="s">
        <v>5208</v>
      </c>
      <c r="AB22" s="41" t="s">
        <v>5216</v>
      </c>
    </row>
    <row r="23" spans="5:35" ht="15.75">
      <c r="O23" s="176"/>
      <c r="P23" s="97" t="s">
        <v>4067</v>
      </c>
      <c r="Q23" s="500" t="s">
        <v>1072</v>
      </c>
      <c r="R23" s="501" t="s">
        <v>1073</v>
      </c>
      <c r="S23" s="500" t="s">
        <v>1074</v>
      </c>
      <c r="T23" s="502" t="s">
        <v>1075</v>
      </c>
      <c r="W23" s="41" t="s">
        <v>5030</v>
      </c>
      <c r="X23" s="41">
        <v>9378807702</v>
      </c>
      <c r="Y23" s="41">
        <v>0</v>
      </c>
      <c r="Z23" s="41">
        <v>0</v>
      </c>
      <c r="AD23" t="s">
        <v>25</v>
      </c>
    </row>
    <row r="24" spans="5:35">
      <c r="O24" s="97"/>
      <c r="P24" s="97"/>
      <c r="Q24" s="500"/>
      <c r="R24" s="501"/>
      <c r="S24" s="500"/>
      <c r="T24" s="502"/>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ht="30">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1324</v>
      </c>
      <c r="H4" s="115">
        <f>C4*G4</f>
        <v>390580000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415939191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1324</v>
      </c>
      <c r="H19" s="115">
        <f>C19*G19</f>
        <v>17127264</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287890547</v>
      </c>
    </row>
    <row r="26" spans="1:8">
      <c r="D26" t="s">
        <v>5384</v>
      </c>
      <c r="E26" s="112">
        <f>'خرید خانه'!H10+'خرید خانه'!H23-'خرید خانه'!D10-'خرید خانه'!D23</f>
        <v>402129738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2022-03-02T16:07:53Z</dcterms:modified>
</cp:coreProperties>
</file>